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15" windowWidth="19260" windowHeight="5730" tabRatio="860" activeTab="4"/>
  </bookViews>
  <sheets>
    <sheet name="tab1" sheetId="33" r:id="rId1"/>
    <sheet name="wykres dochodów" sheetId="27" r:id="rId2"/>
    <sheet name="tab2" sheetId="8" r:id="rId3"/>
    <sheet name="tab3" sheetId="7" r:id="rId4"/>
    <sheet name="tab4" sheetId="5" r:id="rId5"/>
    <sheet name="wykres wydatków" sheetId="22" r:id="rId6"/>
    <sheet name="tab5" sheetId="31" r:id="rId7"/>
    <sheet name="tab 6" sheetId="30" r:id="rId8"/>
    <sheet name="tab 7i8" sheetId="43" r:id="rId9"/>
    <sheet name="tab9i10" sheetId="42" r:id="rId10"/>
    <sheet name="tab11" sheetId="1" r:id="rId11"/>
    <sheet name="tab12" sheetId="6" r:id="rId12"/>
    <sheet name="tab13" sheetId="40" r:id="rId13"/>
    <sheet name="zał wydatki majatkowe" sheetId="46" r:id="rId14"/>
    <sheet name="Arkusz5" sheetId="39" r:id="rId15"/>
    <sheet name="Arkusz1" sheetId="44" r:id="rId16"/>
    <sheet name="Arkusz2" sheetId="45" r:id="rId17"/>
  </sheets>
  <definedNames>
    <definedName name="_xlnm.Print_Area" localSheetId="1">'wykres dochodów'!$A$1:$J$85</definedName>
  </definedNames>
  <calcPr calcId="125725"/>
</workbook>
</file>

<file path=xl/calcChain.xml><?xml version="1.0" encoding="utf-8"?>
<calcChain xmlns="http://schemas.openxmlformats.org/spreadsheetml/2006/main">
  <c r="G25" i="5"/>
  <c r="G36"/>
  <c r="J48"/>
  <c r="P42"/>
  <c r="E8" i="40"/>
  <c r="E18"/>
  <c r="H24" i="5"/>
  <c r="D80" i="22"/>
  <c r="E80"/>
  <c r="H40" i="8"/>
  <c r="H39"/>
  <c r="H36"/>
  <c r="J56" i="33"/>
  <c r="I56"/>
  <c r="H56"/>
  <c r="G56"/>
  <c r="E56"/>
  <c r="K60"/>
  <c r="K83"/>
  <c r="K118"/>
  <c r="K120"/>
  <c r="P82" i="5"/>
  <c r="P80"/>
  <c r="H17" i="1"/>
  <c r="F20" i="46"/>
  <c r="G19"/>
  <c r="G18"/>
  <c r="G17"/>
  <c r="G16"/>
  <c r="G15"/>
  <c r="E14"/>
  <c r="G14" s="1"/>
  <c r="E13"/>
  <c r="G13" s="1"/>
  <c r="G12"/>
  <c r="G11"/>
  <c r="E10"/>
  <c r="G10" s="1"/>
  <c r="E9"/>
  <c r="E20" s="1"/>
  <c r="E19" i="1"/>
  <c r="N22"/>
  <c r="D19"/>
  <c r="G21"/>
  <c r="F18"/>
  <c r="G18"/>
  <c r="H18" s="1"/>
  <c r="H10" i="43"/>
  <c r="G64" i="5"/>
  <c r="G63"/>
  <c r="G29" i="1" s="1"/>
  <c r="J59" i="5"/>
  <c r="G48"/>
  <c r="F33"/>
  <c r="G21"/>
  <c r="G20"/>
  <c r="O18"/>
  <c r="O86"/>
  <c r="O83"/>
  <c r="G87"/>
  <c r="H84"/>
  <c r="H81"/>
  <c r="G81"/>
  <c r="F81"/>
  <c r="E81"/>
  <c r="E79"/>
  <c r="E75"/>
  <c r="G71"/>
  <c r="E71"/>
  <c r="H71" s="1"/>
  <c r="K71"/>
  <c r="E70"/>
  <c r="E62"/>
  <c r="E59"/>
  <c r="I59"/>
  <c r="E51"/>
  <c r="E50"/>
  <c r="E48"/>
  <c r="E46"/>
  <c r="E45"/>
  <c r="F36"/>
  <c r="E36"/>
  <c r="E33" s="1"/>
  <c r="G31"/>
  <c r="E31"/>
  <c r="G30"/>
  <c r="G29"/>
  <c r="F29"/>
  <c r="H28"/>
  <c r="E19"/>
  <c r="F19"/>
  <c r="F38" i="8"/>
  <c r="D11" i="39"/>
  <c r="C11"/>
  <c r="D17"/>
  <c r="C17"/>
  <c r="D39"/>
  <c r="C39"/>
  <c r="D12"/>
  <c r="C12"/>
  <c r="D31"/>
  <c r="D30"/>
  <c r="D22"/>
  <c r="C22"/>
  <c r="D15"/>
  <c r="D36"/>
  <c r="C36"/>
  <c r="D10"/>
  <c r="D20"/>
  <c r="D34"/>
  <c r="C34"/>
  <c r="D18"/>
  <c r="C10"/>
  <c r="D9"/>
  <c r="D37"/>
  <c r="C37"/>
  <c r="E39"/>
  <c r="D14"/>
  <c r="C14"/>
  <c r="C38"/>
  <c r="D45"/>
  <c r="D46" s="1"/>
  <c r="C45"/>
  <c r="C46" s="1"/>
  <c r="D5"/>
  <c r="C5"/>
  <c r="D4"/>
  <c r="C4"/>
  <c r="D16"/>
  <c r="D8"/>
  <c r="C8"/>
  <c r="D6"/>
  <c r="C6"/>
  <c r="D35"/>
  <c r="C35"/>
  <c r="D40"/>
  <c r="C20"/>
  <c r="D13"/>
  <c r="C13"/>
  <c r="D7"/>
  <c r="C7"/>
  <c r="C21"/>
  <c r="C19"/>
  <c r="D19"/>
  <c r="D32"/>
  <c r="F59" i="33"/>
  <c r="F60"/>
  <c r="C32" i="39"/>
  <c r="H123" i="33"/>
  <c r="F133"/>
  <c r="I132"/>
  <c r="I123" s="1"/>
  <c r="F57"/>
  <c r="G189"/>
  <c r="G188" s="1"/>
  <c r="K187"/>
  <c r="I180"/>
  <c r="I170" s="1"/>
  <c r="G180"/>
  <c r="K183"/>
  <c r="F183"/>
  <c r="G141"/>
  <c r="F144"/>
  <c r="F143"/>
  <c r="F142"/>
  <c r="G132"/>
  <c r="F127"/>
  <c r="J117"/>
  <c r="I117"/>
  <c r="H117"/>
  <c r="G117"/>
  <c r="E117"/>
  <c r="F118"/>
  <c r="F117" s="1"/>
  <c r="G114"/>
  <c r="G109"/>
  <c r="F113"/>
  <c r="K111"/>
  <c r="F28"/>
  <c r="F102"/>
  <c r="F101"/>
  <c r="F100"/>
  <c r="F99"/>
  <c r="F98"/>
  <c r="E95"/>
  <c r="F83"/>
  <c r="F82" s="1"/>
  <c r="F89"/>
  <c r="F87"/>
  <c r="F85"/>
  <c r="I79"/>
  <c r="G82"/>
  <c r="F81"/>
  <c r="G20" i="46" l="1"/>
  <c r="G9"/>
  <c r="E24" i="39"/>
  <c r="G63" i="33"/>
  <c r="F66"/>
  <c r="F65"/>
  <c r="F64"/>
  <c r="F54"/>
  <c r="F52"/>
  <c r="F51"/>
  <c r="F50"/>
  <c r="F48"/>
  <c r="F47" s="1"/>
  <c r="F45"/>
  <c r="F44"/>
  <c r="F43"/>
  <c r="F42"/>
  <c r="F40"/>
  <c r="F39"/>
  <c r="F38"/>
  <c r="F37"/>
  <c r="F31"/>
  <c r="F30"/>
  <c r="F29"/>
  <c r="F27"/>
  <c r="F26"/>
  <c r="K30"/>
  <c r="K29"/>
  <c r="F21"/>
  <c r="F12"/>
  <c r="F11" s="1"/>
  <c r="F17" i="45"/>
  <c r="F16" s="1"/>
  <c r="E17"/>
  <c r="E16" s="1"/>
  <c r="F14"/>
  <c r="F13" s="1"/>
  <c r="E14"/>
  <c r="E13" s="1"/>
  <c r="G18"/>
  <c r="G15"/>
  <c r="G14"/>
  <c r="G9"/>
  <c r="F11"/>
  <c r="F10" s="1"/>
  <c r="F8"/>
  <c r="F7" s="1"/>
  <c r="E8"/>
  <c r="E7" s="1"/>
  <c r="E19" s="1"/>
  <c r="D18" i="40"/>
  <c r="D8"/>
  <c r="F19" i="45" l="1"/>
  <c r="G19" s="1"/>
  <c r="G16"/>
  <c r="G17"/>
  <c r="G7"/>
  <c r="G13"/>
  <c r="G8"/>
  <c r="G74" i="5"/>
  <c r="E74"/>
  <c r="G73"/>
  <c r="E73"/>
  <c r="G70"/>
  <c r="E57"/>
  <c r="G61"/>
  <c r="G28" i="1" s="1"/>
  <c r="E63" i="5"/>
  <c r="G69"/>
  <c r="G31" i="1" s="1"/>
  <c r="E64" i="5"/>
  <c r="G62"/>
  <c r="G59"/>
  <c r="G78"/>
  <c r="G45"/>
  <c r="G46"/>
  <c r="G75"/>
  <c r="J75"/>
  <c r="G52"/>
  <c r="J46"/>
  <c r="G49"/>
  <c r="G50"/>
  <c r="G44"/>
  <c r="H19"/>
  <c r="G19"/>
  <c r="N86"/>
  <c r="M86"/>
  <c r="L86"/>
  <c r="K86"/>
  <c r="J86"/>
  <c r="I86"/>
  <c r="G86"/>
  <c r="E86"/>
  <c r="D86"/>
  <c r="N83"/>
  <c r="M83"/>
  <c r="L83"/>
  <c r="K83"/>
  <c r="J83"/>
  <c r="I83"/>
  <c r="H83"/>
  <c r="G83"/>
  <c r="E83"/>
  <c r="D83"/>
  <c r="D81"/>
  <c r="P81" s="1"/>
  <c r="O54"/>
  <c r="N54"/>
  <c r="M54"/>
  <c r="L54"/>
  <c r="K54"/>
  <c r="J54"/>
  <c r="I54"/>
  <c r="G54"/>
  <c r="E54"/>
  <c r="D54"/>
  <c r="F59"/>
  <c r="F60"/>
  <c r="F61"/>
  <c r="F62"/>
  <c r="F63"/>
  <c r="F64"/>
  <c r="F65"/>
  <c r="F66"/>
  <c r="D33"/>
  <c r="P37"/>
  <c r="G27"/>
  <c r="H29"/>
  <c r="H30"/>
  <c r="H31"/>
  <c r="H32"/>
  <c r="N18"/>
  <c r="M18"/>
  <c r="L18"/>
  <c r="K18"/>
  <c r="J18"/>
  <c r="I18"/>
  <c r="H18"/>
  <c r="G18"/>
  <c r="F18"/>
  <c r="E18"/>
  <c r="F35" i="8"/>
  <c r="H35" s="1"/>
  <c r="E35"/>
  <c r="E180" i="33"/>
  <c r="H654" i="44"/>
  <c r="G653"/>
  <c r="F653"/>
  <c r="H653" s="1"/>
  <c r="H652"/>
  <c r="H651"/>
  <c r="H650"/>
  <c r="G649"/>
  <c r="F649"/>
  <c r="H649" s="1"/>
  <c r="H648"/>
  <c r="H647"/>
  <c r="H646"/>
  <c r="H645"/>
  <c r="H644"/>
  <c r="H643"/>
  <c r="H642"/>
  <c r="H641"/>
  <c r="G639"/>
  <c r="F639"/>
  <c r="H637"/>
  <c r="G636"/>
  <c r="F636"/>
  <c r="H635"/>
  <c r="G634"/>
  <c r="F634"/>
  <c r="H633"/>
  <c r="H632"/>
  <c r="H631"/>
  <c r="G630"/>
  <c r="F630"/>
  <c r="G626"/>
  <c r="F626"/>
  <c r="H625"/>
  <c r="H624"/>
  <c r="H623"/>
  <c r="G621"/>
  <c r="F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G601"/>
  <c r="H601" s="1"/>
  <c r="F601"/>
  <c r="H600"/>
  <c r="G599"/>
  <c r="F599"/>
  <c r="H598"/>
  <c r="G597"/>
  <c r="H597" s="1"/>
  <c r="F597"/>
  <c r="H596"/>
  <c r="H595"/>
  <c r="H594"/>
  <c r="H593"/>
  <c r="H592"/>
  <c r="H591"/>
  <c r="H590"/>
  <c r="H589"/>
  <c r="H588"/>
  <c r="H587"/>
  <c r="H586"/>
  <c r="H585"/>
  <c r="H584"/>
  <c r="H583"/>
  <c r="H582"/>
  <c r="G581"/>
  <c r="F581"/>
  <c r="H580"/>
  <c r="H579"/>
  <c r="H578"/>
  <c r="H577"/>
  <c r="H576"/>
  <c r="H575"/>
  <c r="H574"/>
  <c r="H573"/>
  <c r="H572"/>
  <c r="H571"/>
  <c r="H570"/>
  <c r="H569"/>
  <c r="H568"/>
  <c r="H567"/>
  <c r="H566"/>
  <c r="G565"/>
  <c r="H565" s="1"/>
  <c r="F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G545"/>
  <c r="F545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G514"/>
  <c r="H514" s="1"/>
  <c r="F514"/>
  <c r="H513"/>
  <c r="H512"/>
  <c r="H511"/>
  <c r="H510"/>
  <c r="H509"/>
  <c r="H508"/>
  <c r="H507"/>
  <c r="H506"/>
  <c r="H505"/>
  <c r="H504"/>
  <c r="H503"/>
  <c r="H502"/>
  <c r="H501"/>
  <c r="H500"/>
  <c r="H499"/>
  <c r="H498"/>
  <c r="G497"/>
  <c r="F497"/>
  <c r="H496"/>
  <c r="H495"/>
  <c r="H494"/>
  <c r="H493"/>
  <c r="H492"/>
  <c r="H491"/>
  <c r="H490"/>
  <c r="H489"/>
  <c r="G488"/>
  <c r="H488" s="1"/>
  <c r="F488"/>
  <c r="H487"/>
  <c r="G486"/>
  <c r="F486"/>
  <c r="F485" s="1"/>
  <c r="H484"/>
  <c r="H483"/>
  <c r="H482"/>
  <c r="G481"/>
  <c r="F481"/>
  <c r="H480"/>
  <c r="H479"/>
  <c r="H478"/>
  <c r="G477"/>
  <c r="F477"/>
  <c r="H477" s="1"/>
  <c r="H476"/>
  <c r="H475"/>
  <c r="H474"/>
  <c r="H473"/>
  <c r="H472"/>
  <c r="H471"/>
  <c r="H470"/>
  <c r="H469"/>
  <c r="H468"/>
  <c r="H467"/>
  <c r="H466"/>
  <c r="H465"/>
  <c r="H464"/>
  <c r="H463"/>
  <c r="H462"/>
  <c r="H461"/>
  <c r="G460"/>
  <c r="F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G439"/>
  <c r="F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G418"/>
  <c r="F418"/>
  <c r="H417"/>
  <c r="H416"/>
  <c r="H415"/>
  <c r="H414"/>
  <c r="H413"/>
  <c r="H412"/>
  <c r="G411"/>
  <c r="F411"/>
  <c r="H411" s="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G390"/>
  <c r="F390"/>
  <c r="H389"/>
  <c r="H388"/>
  <c r="G387"/>
  <c r="F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1"/>
  <c r="G360"/>
  <c r="F360"/>
  <c r="H358"/>
  <c r="G357"/>
  <c r="F357"/>
  <c r="H356"/>
  <c r="H355"/>
  <c r="G354"/>
  <c r="F354"/>
  <c r="H354" s="1"/>
  <c r="H353"/>
  <c r="G352"/>
  <c r="F352"/>
  <c r="H351"/>
  <c r="H350"/>
  <c r="G349"/>
  <c r="H349" s="1"/>
  <c r="F349"/>
  <c r="H348"/>
  <c r="H347"/>
  <c r="H346"/>
  <c r="H345"/>
  <c r="H344"/>
  <c r="G343"/>
  <c r="F343"/>
  <c r="F342" s="1"/>
  <c r="H341"/>
  <c r="H340"/>
  <c r="H339"/>
  <c r="G338"/>
  <c r="F338"/>
  <c r="H337"/>
  <c r="H336"/>
  <c r="H335"/>
  <c r="H334"/>
  <c r="H333"/>
  <c r="H332"/>
  <c r="H331"/>
  <c r="H330"/>
  <c r="H329"/>
  <c r="G328"/>
  <c r="F328"/>
  <c r="H327"/>
  <c r="H326"/>
  <c r="H325"/>
  <c r="H324"/>
  <c r="H323"/>
  <c r="H322"/>
  <c r="G321"/>
  <c r="F321"/>
  <c r="H320"/>
  <c r="H319"/>
  <c r="H318"/>
  <c r="H317"/>
  <c r="H316"/>
  <c r="H315"/>
  <c r="G314"/>
  <c r="F314"/>
  <c r="H313"/>
  <c r="H312"/>
  <c r="H311"/>
  <c r="H310"/>
  <c r="H309"/>
  <c r="H308"/>
  <c r="H307"/>
  <c r="H306"/>
  <c r="H305"/>
  <c r="H304"/>
  <c r="H303"/>
  <c r="H302"/>
  <c r="H301"/>
  <c r="H300"/>
  <c r="G299"/>
  <c r="F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G268"/>
  <c r="F268"/>
  <c r="H267"/>
  <c r="G266"/>
  <c r="F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G239"/>
  <c r="G203" s="1"/>
  <c r="F239"/>
  <c r="H238"/>
  <c r="H237"/>
  <c r="H236"/>
  <c r="H235"/>
  <c r="H234"/>
  <c r="H233"/>
  <c r="H232"/>
  <c r="H231"/>
  <c r="H230"/>
  <c r="H229"/>
  <c r="H228"/>
  <c r="H227"/>
  <c r="H226"/>
  <c r="G225"/>
  <c r="F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G204"/>
  <c r="F204"/>
  <c r="H202"/>
  <c r="G201"/>
  <c r="F201"/>
  <c r="F200" s="1"/>
  <c r="H199"/>
  <c r="H198"/>
  <c r="G197"/>
  <c r="F197"/>
  <c r="F196" s="1"/>
  <c r="H195"/>
  <c r="H194"/>
  <c r="H193"/>
  <c r="H192"/>
  <c r="G191"/>
  <c r="H191" s="1"/>
  <c r="F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G162"/>
  <c r="F162"/>
  <c r="H161"/>
  <c r="G160"/>
  <c r="F160"/>
  <c r="H160" s="1"/>
  <c r="H159"/>
  <c r="G158"/>
  <c r="F158"/>
  <c r="G157"/>
  <c r="H156"/>
  <c r="H155"/>
  <c r="H154"/>
  <c r="H153"/>
  <c r="G152"/>
  <c r="F152"/>
  <c r="H152" s="1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G133"/>
  <c r="F133"/>
  <c r="H132"/>
  <c r="H131"/>
  <c r="H130"/>
  <c r="H129"/>
  <c r="H128"/>
  <c r="H127"/>
  <c r="G126"/>
  <c r="F126"/>
  <c r="H126" s="1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G97"/>
  <c r="F97"/>
  <c r="H96"/>
  <c r="H95"/>
  <c r="H94"/>
  <c r="G93"/>
  <c r="H93" s="1"/>
  <c r="F93"/>
  <c r="H92"/>
  <c r="H91"/>
  <c r="H90"/>
  <c r="G89"/>
  <c r="F89"/>
  <c r="H87"/>
  <c r="H86"/>
  <c r="H85"/>
  <c r="H84"/>
  <c r="H83"/>
  <c r="H82"/>
  <c r="H81"/>
  <c r="H80"/>
  <c r="H79"/>
  <c r="H78"/>
  <c r="H77"/>
  <c r="H76"/>
  <c r="H75"/>
  <c r="H74"/>
  <c r="H73"/>
  <c r="H72"/>
  <c r="G71"/>
  <c r="F71"/>
  <c r="H70"/>
  <c r="H69"/>
  <c r="G68"/>
  <c r="F68"/>
  <c r="H68" s="1"/>
  <c r="H67"/>
  <c r="G66"/>
  <c r="G65" s="1"/>
  <c r="F66"/>
  <c r="H64"/>
  <c r="H63"/>
  <c r="H62"/>
  <c r="H61"/>
  <c r="H60"/>
  <c r="H59"/>
  <c r="H58"/>
  <c r="H57"/>
  <c r="H56"/>
  <c r="H55"/>
  <c r="H54"/>
  <c r="G53"/>
  <c r="H53" s="1"/>
  <c r="F53"/>
  <c r="F52"/>
  <c r="H51"/>
  <c r="H50"/>
  <c r="G49"/>
  <c r="F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G23"/>
  <c r="H23" s="1"/>
  <c r="F23"/>
  <c r="F22"/>
  <c r="H21"/>
  <c r="H20"/>
  <c r="H19"/>
  <c r="G18"/>
  <c r="G15" s="1"/>
  <c r="F18"/>
  <c r="H17"/>
  <c r="G16"/>
  <c r="F16"/>
  <c r="H16" s="1"/>
  <c r="H14"/>
  <c r="G13"/>
  <c r="F13"/>
  <c r="H12"/>
  <c r="G11"/>
  <c r="F11"/>
  <c r="F10" s="1"/>
  <c r="H11" l="1"/>
  <c r="H201"/>
  <c r="H225"/>
  <c r="H266"/>
  <c r="H299"/>
  <c r="H321"/>
  <c r="H338"/>
  <c r="H352"/>
  <c r="H360"/>
  <c r="G359"/>
  <c r="H390"/>
  <c r="H418"/>
  <c r="H460"/>
  <c r="H481"/>
  <c r="F629"/>
  <c r="G629"/>
  <c r="H636"/>
  <c r="F544"/>
  <c r="F638"/>
  <c r="H639"/>
  <c r="H634"/>
  <c r="H629"/>
  <c r="H621"/>
  <c r="H599"/>
  <c r="H581"/>
  <c r="G544"/>
  <c r="H544" s="1"/>
  <c r="H545"/>
  <c r="H497"/>
  <c r="H486"/>
  <c r="H439"/>
  <c r="H387"/>
  <c r="H357"/>
  <c r="H343"/>
  <c r="H328"/>
  <c r="H314"/>
  <c r="H268"/>
  <c r="H239"/>
  <c r="H204"/>
  <c r="H197"/>
  <c r="H162"/>
  <c r="H158"/>
  <c r="H97"/>
  <c r="H89"/>
  <c r="F88"/>
  <c r="H71"/>
  <c r="H66"/>
  <c r="H49"/>
  <c r="H18"/>
  <c r="H13"/>
  <c r="H133"/>
  <c r="G10"/>
  <c r="F15"/>
  <c r="H15" s="1"/>
  <c r="G22"/>
  <c r="H22" s="1"/>
  <c r="G52"/>
  <c r="H52" s="1"/>
  <c r="F65"/>
  <c r="H65" s="1"/>
  <c r="G88"/>
  <c r="H88" s="1"/>
  <c r="F157"/>
  <c r="H157" s="1"/>
  <c r="G196"/>
  <c r="H196" s="1"/>
  <c r="G200"/>
  <c r="H200" s="1"/>
  <c r="F203"/>
  <c r="H203" s="1"/>
  <c r="G342"/>
  <c r="H342" s="1"/>
  <c r="F359"/>
  <c r="H359" s="1"/>
  <c r="G485"/>
  <c r="H485" s="1"/>
  <c r="H630"/>
  <c r="G638"/>
  <c r="H638" s="1"/>
  <c r="G655" l="1"/>
  <c r="H10"/>
  <c r="F655"/>
  <c r="H655" l="1"/>
  <c r="F20" i="1" l="1"/>
  <c r="F21"/>
  <c r="H18" i="33"/>
  <c r="F192"/>
  <c r="F191"/>
  <c r="G121"/>
  <c r="F108"/>
  <c r="F107"/>
  <c r="F106"/>
  <c r="F105"/>
  <c r="F104"/>
  <c r="D20" i="5"/>
  <c r="E191" i="33"/>
  <c r="E171"/>
  <c r="E103"/>
  <c r="E91"/>
  <c r="E84"/>
  <c r="E82"/>
  <c r="K82" s="1"/>
  <c r="E166"/>
  <c r="E135"/>
  <c r="E88"/>
  <c r="E86"/>
  <c r="E76"/>
  <c r="D18" i="5"/>
  <c r="H11" i="33"/>
  <c r="H14"/>
  <c r="H24"/>
  <c r="H33"/>
  <c r="H46"/>
  <c r="H62"/>
  <c r="H70"/>
  <c r="H79"/>
  <c r="H90"/>
  <c r="H116"/>
  <c r="H170"/>
  <c r="H169"/>
  <c r="H168"/>
  <c r="J160"/>
  <c r="J157" s="1"/>
  <c r="J116"/>
  <c r="J97"/>
  <c r="J90" s="1"/>
  <c r="J63"/>
  <c r="J62" s="1"/>
  <c r="J49"/>
  <c r="J46" s="1"/>
  <c r="J41"/>
  <c r="J25"/>
  <c r="J24" s="1"/>
  <c r="J19"/>
  <c r="J18" s="1"/>
  <c r="J11"/>
  <c r="F190"/>
  <c r="F187"/>
  <c r="F186"/>
  <c r="F185"/>
  <c r="F182"/>
  <c r="F181"/>
  <c r="F180" s="1"/>
  <c r="F179"/>
  <c r="F178"/>
  <c r="F177"/>
  <c r="F176"/>
  <c r="F174"/>
  <c r="F173"/>
  <c r="F172"/>
  <c r="F169"/>
  <c r="F168"/>
  <c r="F167"/>
  <c r="F165"/>
  <c r="F164"/>
  <c r="F163"/>
  <c r="F162"/>
  <c r="F161"/>
  <c r="F159"/>
  <c r="F156"/>
  <c r="F154"/>
  <c r="F153"/>
  <c r="F152"/>
  <c r="F151"/>
  <c r="F149"/>
  <c r="F147"/>
  <c r="F146"/>
  <c r="F145"/>
  <c r="F140"/>
  <c r="F139"/>
  <c r="F138"/>
  <c r="F137"/>
  <c r="F136"/>
  <c r="F134"/>
  <c r="F131"/>
  <c r="F130"/>
  <c r="F129"/>
  <c r="F128"/>
  <c r="F126"/>
  <c r="F125"/>
  <c r="F122"/>
  <c r="F120"/>
  <c r="F115"/>
  <c r="F112"/>
  <c r="F111"/>
  <c r="F110"/>
  <c r="F95"/>
  <c r="F61"/>
  <c r="F56" s="1"/>
  <c r="F23"/>
  <c r="F22"/>
  <c r="F20"/>
  <c r="F17"/>
  <c r="F16"/>
  <c r="F19" i="1" l="1"/>
  <c r="J193" i="33"/>
  <c r="H166"/>
  <c r="H157" s="1"/>
  <c r="H193" s="1"/>
  <c r="H26" i="43"/>
  <c r="H27"/>
  <c r="F28"/>
  <c r="G28"/>
  <c r="G14"/>
  <c r="F14"/>
  <c r="H13"/>
  <c r="H12"/>
  <c r="H11"/>
  <c r="G20" i="30"/>
  <c r="F20"/>
  <c r="H19"/>
  <c r="H14"/>
  <c r="H13"/>
  <c r="H12"/>
  <c r="H10"/>
  <c r="M30" i="1"/>
  <c r="L30"/>
  <c r="K30"/>
  <c r="J30"/>
  <c r="I30"/>
  <c r="E30"/>
  <c r="D30"/>
  <c r="G30"/>
  <c r="O72" i="5"/>
  <c r="O67"/>
  <c r="O58"/>
  <c r="O41"/>
  <c r="O33"/>
  <c r="O26"/>
  <c r="O22"/>
  <c r="O20"/>
  <c r="O15"/>
  <c r="O12"/>
  <c r="N72"/>
  <c r="N67"/>
  <c r="N58"/>
  <c r="N41"/>
  <c r="N33"/>
  <c r="N26"/>
  <c r="N22"/>
  <c r="N20"/>
  <c r="N15"/>
  <c r="N12"/>
  <c r="H28" i="43" l="1"/>
  <c r="N43" i="5"/>
  <c r="N89" s="1"/>
  <c r="O43"/>
  <c r="O89" s="1"/>
  <c r="H14" i="43"/>
  <c r="H26" i="42"/>
  <c r="G26"/>
  <c r="I25"/>
  <c r="I9"/>
  <c r="H11"/>
  <c r="G11"/>
  <c r="H16" i="31"/>
  <c r="E40" i="39"/>
  <c r="E37"/>
  <c r="E22"/>
  <c r="E13"/>
  <c r="E10"/>
  <c r="E8"/>
  <c r="E7"/>
  <c r="E6"/>
  <c r="E5"/>
  <c r="E38"/>
  <c r="E25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70"/>
  <c r="L74"/>
  <c r="L75"/>
  <c r="L80"/>
  <c r="L81"/>
  <c r="L82"/>
  <c r="L83"/>
  <c r="L84"/>
  <c r="L85"/>
  <c r="L86"/>
  <c r="L87"/>
  <c r="L88"/>
  <c r="L89"/>
  <c r="L91"/>
  <c r="L92"/>
  <c r="L93"/>
  <c r="L94"/>
  <c r="L95"/>
  <c r="L96"/>
  <c r="L97"/>
  <c r="L98"/>
  <c r="L99"/>
  <c r="L100"/>
  <c r="L104"/>
  <c r="L105"/>
  <c r="L106"/>
  <c r="L107"/>
  <c r="L108"/>
  <c r="L109"/>
  <c r="L110"/>
  <c r="L111"/>
  <c r="L112"/>
  <c r="L113"/>
  <c r="L114"/>
  <c r="L116"/>
  <c r="L118"/>
  <c r="L119"/>
  <c r="L120"/>
  <c r="L121"/>
  <c r="L123"/>
  <c r="L124"/>
  <c r="L125"/>
  <c r="L127"/>
  <c r="L130"/>
  <c r="L131"/>
  <c r="L132"/>
  <c r="L133"/>
  <c r="L138"/>
  <c r="L142"/>
  <c r="L143"/>
  <c r="L144"/>
  <c r="L145"/>
  <c r="L146"/>
  <c r="L148"/>
  <c r="L150"/>
  <c r="L151"/>
  <c r="L153"/>
  <c r="L154"/>
  <c r="L155"/>
  <c r="L158"/>
  <c r="L160"/>
  <c r="L161"/>
  <c r="L163"/>
  <c r="L164"/>
  <c r="L165"/>
  <c r="L166"/>
  <c r="L169"/>
  <c r="L170"/>
  <c r="L171"/>
  <c r="L172"/>
  <c r="E19"/>
  <c r="E17"/>
  <c r="E14"/>
  <c r="E12"/>
  <c r="E11"/>
  <c r="E21"/>
  <c r="E20"/>
  <c r="E36"/>
  <c r="E35"/>
  <c r="E34"/>
  <c r="E33"/>
  <c r="E32"/>
  <c r="E31"/>
  <c r="E30"/>
  <c r="G14" i="8"/>
  <c r="G13" s="1"/>
  <c r="G17"/>
  <c r="G16" s="1"/>
  <c r="G21"/>
  <c r="G23"/>
  <c r="G25"/>
  <c r="G31"/>
  <c r="G33"/>
  <c r="G44"/>
  <c r="G43" s="1"/>
  <c r="G47"/>
  <c r="G53"/>
  <c r="G56"/>
  <c r="G55" s="1"/>
  <c r="F25"/>
  <c r="E25"/>
  <c r="M41" i="5"/>
  <c r="L41"/>
  <c r="K41"/>
  <c r="J41"/>
  <c r="I41"/>
  <c r="H41"/>
  <c r="G41"/>
  <c r="F41"/>
  <c r="M67"/>
  <c r="L67"/>
  <c r="J67"/>
  <c r="E67"/>
  <c r="D67"/>
  <c r="F87"/>
  <c r="F73"/>
  <c r="K67"/>
  <c r="F56"/>
  <c r="H56" s="1"/>
  <c r="P56"/>
  <c r="D41"/>
  <c r="P41" s="1"/>
  <c r="M33"/>
  <c r="L33"/>
  <c r="K33"/>
  <c r="J33"/>
  <c r="G33"/>
  <c r="I35"/>
  <c r="I33" s="1"/>
  <c r="E121" i="33"/>
  <c r="E189"/>
  <c r="E188" s="1"/>
  <c r="F189"/>
  <c r="G155"/>
  <c r="F155" s="1"/>
  <c r="E155"/>
  <c r="F141"/>
  <c r="G119"/>
  <c r="E119"/>
  <c r="I116"/>
  <c r="E97"/>
  <c r="K94"/>
  <c r="K65"/>
  <c r="K64"/>
  <c r="K52"/>
  <c r="I49"/>
  <c r="I46" s="1"/>
  <c r="G49"/>
  <c r="E49"/>
  <c r="I41"/>
  <c r="G41"/>
  <c r="E41"/>
  <c r="G36"/>
  <c r="F36" s="1"/>
  <c r="E36"/>
  <c r="K38"/>
  <c r="I19"/>
  <c r="I18" s="1"/>
  <c r="G19"/>
  <c r="G18" s="1"/>
  <c r="E19"/>
  <c r="E18" s="1"/>
  <c r="I10" i="42"/>
  <c r="H18" i="30"/>
  <c r="H17"/>
  <c r="H16"/>
  <c r="H15"/>
  <c r="H11"/>
  <c r="G22" i="31"/>
  <c r="F22"/>
  <c r="H21"/>
  <c r="H20"/>
  <c r="H19"/>
  <c r="H18"/>
  <c r="H17"/>
  <c r="H15"/>
  <c r="H14"/>
  <c r="H13"/>
  <c r="H12"/>
  <c r="H11"/>
  <c r="F119" i="33" l="1"/>
  <c r="K119"/>
  <c r="G30" i="8"/>
  <c r="G20"/>
  <c r="F41" i="33"/>
  <c r="F19"/>
  <c r="F18" s="1"/>
  <c r="F49"/>
  <c r="G67" i="5"/>
  <c r="H87"/>
  <c r="H86" s="1"/>
  <c r="G46" i="8"/>
  <c r="H59" i="5"/>
  <c r="H73"/>
  <c r="I26" i="42"/>
  <c r="I11"/>
  <c r="H22" i="31"/>
  <c r="C41" i="39"/>
  <c r="D41"/>
  <c r="H20" i="30"/>
  <c r="N31" i="1"/>
  <c r="N29"/>
  <c r="N28"/>
  <c r="N26"/>
  <c r="N24"/>
  <c r="N21"/>
  <c r="N20"/>
  <c r="N18"/>
  <c r="N17"/>
  <c r="N16"/>
  <c r="N14"/>
  <c r="N12"/>
  <c r="M27"/>
  <c r="L27"/>
  <c r="K27"/>
  <c r="J27"/>
  <c r="I27"/>
  <c r="E27"/>
  <c r="M25"/>
  <c r="L25"/>
  <c r="K25"/>
  <c r="J25"/>
  <c r="I25"/>
  <c r="G25"/>
  <c r="E25"/>
  <c r="M23"/>
  <c r="L23"/>
  <c r="K23"/>
  <c r="J23"/>
  <c r="I23"/>
  <c r="E23"/>
  <c r="M19"/>
  <c r="L19"/>
  <c r="K19"/>
  <c r="J19"/>
  <c r="I19"/>
  <c r="M15"/>
  <c r="L15"/>
  <c r="K15"/>
  <c r="J15"/>
  <c r="I15"/>
  <c r="E15"/>
  <c r="D15"/>
  <c r="M13"/>
  <c r="L13"/>
  <c r="K13"/>
  <c r="J13"/>
  <c r="I13"/>
  <c r="G13"/>
  <c r="E13"/>
  <c r="M11"/>
  <c r="M32" s="1"/>
  <c r="L11"/>
  <c r="K11"/>
  <c r="K32" s="1"/>
  <c r="J11"/>
  <c r="I11"/>
  <c r="I32" s="1"/>
  <c r="G11"/>
  <c r="E11"/>
  <c r="E32" s="1"/>
  <c r="F31"/>
  <c r="F30" s="1"/>
  <c r="F29"/>
  <c r="G27"/>
  <c r="F28"/>
  <c r="H28" s="1"/>
  <c r="F26"/>
  <c r="H26" s="1"/>
  <c r="H25" s="1"/>
  <c r="G23"/>
  <c r="F24"/>
  <c r="H24" s="1"/>
  <c r="H23" s="1"/>
  <c r="H21"/>
  <c r="H19" s="1"/>
  <c r="G20"/>
  <c r="F12"/>
  <c r="F11" s="1"/>
  <c r="G38" i="8"/>
  <c r="G37" s="1"/>
  <c r="G58" s="1"/>
  <c r="H54"/>
  <c r="E53"/>
  <c r="F53"/>
  <c r="E38"/>
  <c r="E31"/>
  <c r="F31"/>
  <c r="P88" i="5"/>
  <c r="P87"/>
  <c r="P85"/>
  <c r="P84"/>
  <c r="P79"/>
  <c r="P78"/>
  <c r="P77"/>
  <c r="P76"/>
  <c r="P75"/>
  <c r="P74"/>
  <c r="P73"/>
  <c r="P71"/>
  <c r="P70"/>
  <c r="P69"/>
  <c r="P68"/>
  <c r="P66"/>
  <c r="P65"/>
  <c r="P64"/>
  <c r="P63"/>
  <c r="P62"/>
  <c r="P61"/>
  <c r="P60"/>
  <c r="P59"/>
  <c r="P57"/>
  <c r="P55"/>
  <c r="P53"/>
  <c r="P52"/>
  <c r="P51"/>
  <c r="P50"/>
  <c r="P49"/>
  <c r="P48"/>
  <c r="P47"/>
  <c r="P46"/>
  <c r="P45"/>
  <c r="P44"/>
  <c r="P40"/>
  <c r="P38"/>
  <c r="P36"/>
  <c r="P35"/>
  <c r="P32"/>
  <c r="P31"/>
  <c r="P30"/>
  <c r="P29"/>
  <c r="P28"/>
  <c r="P27"/>
  <c r="P25"/>
  <c r="P24"/>
  <c r="P23"/>
  <c r="P21"/>
  <c r="P19"/>
  <c r="P17"/>
  <c r="P16"/>
  <c r="P14"/>
  <c r="P13"/>
  <c r="L26"/>
  <c r="K26"/>
  <c r="J26"/>
  <c r="I26"/>
  <c r="E26"/>
  <c r="M72"/>
  <c r="L72"/>
  <c r="K72"/>
  <c r="J72"/>
  <c r="E72"/>
  <c r="D72"/>
  <c r="F80"/>
  <c r="F79"/>
  <c r="H79" s="1"/>
  <c r="F75"/>
  <c r="H75" s="1"/>
  <c r="F74"/>
  <c r="H74" s="1"/>
  <c r="M58"/>
  <c r="L58"/>
  <c r="K58"/>
  <c r="E58"/>
  <c r="D58"/>
  <c r="H66"/>
  <c r="H63"/>
  <c r="J58"/>
  <c r="I58"/>
  <c r="L43"/>
  <c r="K43"/>
  <c r="E43"/>
  <c r="P33"/>
  <c r="F51"/>
  <c r="H51" s="1"/>
  <c r="J43"/>
  <c r="F48"/>
  <c r="H48" s="1"/>
  <c r="M43"/>
  <c r="H38"/>
  <c r="M22"/>
  <c r="L22"/>
  <c r="K22"/>
  <c r="J22"/>
  <c r="I22"/>
  <c r="E22"/>
  <c r="D22"/>
  <c r="L20"/>
  <c r="K20"/>
  <c r="J20"/>
  <c r="I20"/>
  <c r="E20"/>
  <c r="M15"/>
  <c r="L15"/>
  <c r="K15"/>
  <c r="I15"/>
  <c r="G15"/>
  <c r="E15"/>
  <c r="D15"/>
  <c r="M12"/>
  <c r="L12"/>
  <c r="K12"/>
  <c r="K89" s="1"/>
  <c r="J12"/>
  <c r="I12"/>
  <c r="G12"/>
  <c r="E12"/>
  <c r="D12"/>
  <c r="M26"/>
  <c r="G22"/>
  <c r="M20"/>
  <c r="H17"/>
  <c r="H15" s="1"/>
  <c r="J16"/>
  <c r="J15" s="1"/>
  <c r="H14"/>
  <c r="H13"/>
  <c r="K190" i="33"/>
  <c r="K186"/>
  <c r="K185"/>
  <c r="K182"/>
  <c r="K181"/>
  <c r="K179"/>
  <c r="K178"/>
  <c r="K177"/>
  <c r="K176"/>
  <c r="K174"/>
  <c r="K173"/>
  <c r="K172"/>
  <c r="K169"/>
  <c r="K168"/>
  <c r="K165"/>
  <c r="K164"/>
  <c r="K163"/>
  <c r="K159"/>
  <c r="K153"/>
  <c r="K152"/>
  <c r="K151"/>
  <c r="K149"/>
  <c r="K146"/>
  <c r="K139"/>
  <c r="K134"/>
  <c r="K131"/>
  <c r="K129"/>
  <c r="K126"/>
  <c r="K122"/>
  <c r="K115"/>
  <c r="K110"/>
  <c r="K106"/>
  <c r="K96"/>
  <c r="K93"/>
  <c r="K92"/>
  <c r="K89"/>
  <c r="K87"/>
  <c r="K85"/>
  <c r="K81"/>
  <c r="K78"/>
  <c r="K77"/>
  <c r="K74"/>
  <c r="K73"/>
  <c r="K72"/>
  <c r="K69"/>
  <c r="K66"/>
  <c r="K61"/>
  <c r="K55"/>
  <c r="K54"/>
  <c r="K48"/>
  <c r="K44"/>
  <c r="K40"/>
  <c r="K35"/>
  <c r="K32"/>
  <c r="K31"/>
  <c r="K28"/>
  <c r="K27"/>
  <c r="K26"/>
  <c r="K22"/>
  <c r="K17"/>
  <c r="K13"/>
  <c r="I63"/>
  <c r="I62" s="1"/>
  <c r="I97"/>
  <c r="F63"/>
  <c r="G184"/>
  <c r="F184" s="1"/>
  <c r="F188"/>
  <c r="G171"/>
  <c r="F171" s="1"/>
  <c r="G166"/>
  <c r="F166" s="1"/>
  <c r="G148"/>
  <c r="F148" s="1"/>
  <c r="E141"/>
  <c r="F132"/>
  <c r="E132"/>
  <c r="G15"/>
  <c r="E15"/>
  <c r="G71"/>
  <c r="F71" s="1"/>
  <c r="E71"/>
  <c r="G91"/>
  <c r="F91" s="1"/>
  <c r="G103"/>
  <c r="E109"/>
  <c r="E148"/>
  <c r="E184"/>
  <c r="G124"/>
  <c r="F124" s="1"/>
  <c r="E124"/>
  <c r="K108"/>
  <c r="K107"/>
  <c r="K105"/>
  <c r="K104"/>
  <c r="K95"/>
  <c r="E80"/>
  <c r="E79" s="1"/>
  <c r="E63"/>
  <c r="I11"/>
  <c r="F13" i="1"/>
  <c r="G15" l="1"/>
  <c r="G32" s="1"/>
  <c r="G19"/>
  <c r="M89" i="5"/>
  <c r="J32" i="1"/>
  <c r="J89" i="5"/>
  <c r="F103" i="33"/>
  <c r="G14"/>
  <c r="F14" s="1"/>
  <c r="F15"/>
  <c r="N15" i="1"/>
  <c r="H12"/>
  <c r="H11" s="1"/>
  <c r="H36" i="5"/>
  <c r="H33" s="1"/>
  <c r="G26"/>
  <c r="P20"/>
  <c r="P72"/>
  <c r="P54"/>
  <c r="P58"/>
  <c r="G72"/>
  <c r="P18"/>
  <c r="P22"/>
  <c r="P15"/>
  <c r="H53" i="8"/>
  <c r="K132" i="33"/>
  <c r="K141"/>
  <c r="K171"/>
  <c r="K91"/>
  <c r="K19"/>
  <c r="K56"/>
  <c r="K148"/>
  <c r="K184"/>
  <c r="K117"/>
  <c r="K189"/>
  <c r="K180"/>
  <c r="K63"/>
  <c r="H29" i="1"/>
  <c r="H31"/>
  <c r="H30" s="1"/>
  <c r="L32"/>
  <c r="F25"/>
  <c r="H15"/>
  <c r="F15"/>
  <c r="F32" s="1"/>
  <c r="F23"/>
  <c r="F27"/>
  <c r="H14"/>
  <c r="H13" s="1"/>
  <c r="F45" i="5"/>
  <c r="H45" s="1"/>
  <c r="H12"/>
  <c r="F12"/>
  <c r="F15"/>
  <c r="K166" i="33"/>
  <c r="K124"/>
  <c r="K71"/>
  <c r="K188"/>
  <c r="K15"/>
  <c r="K23"/>
  <c r="K103"/>
  <c r="F69" i="5"/>
  <c r="F88"/>
  <c r="F86" s="1"/>
  <c r="K18" i="33" l="1"/>
  <c r="H27" i="1"/>
  <c r="H32" s="1"/>
  <c r="H69" i="5"/>
  <c r="F85"/>
  <c r="F84"/>
  <c r="F78"/>
  <c r="H78" s="1"/>
  <c r="F77"/>
  <c r="F76"/>
  <c r="F71"/>
  <c r="F70"/>
  <c r="H70" s="1"/>
  <c r="F68"/>
  <c r="H65"/>
  <c r="H64"/>
  <c r="G58"/>
  <c r="H61"/>
  <c r="F57"/>
  <c r="D43"/>
  <c r="F52"/>
  <c r="H52" s="1"/>
  <c r="F50"/>
  <c r="H50" s="1"/>
  <c r="F49"/>
  <c r="H49" s="1"/>
  <c r="F47"/>
  <c r="G43" s="1"/>
  <c r="F46"/>
  <c r="H46" s="1"/>
  <c r="F44"/>
  <c r="H44" s="1"/>
  <c r="F40"/>
  <c r="L40" s="1"/>
  <c r="F25"/>
  <c r="H25" s="1"/>
  <c r="F21"/>
  <c r="H21" s="1"/>
  <c r="I160" i="33"/>
  <c r="I157" s="1"/>
  <c r="E116"/>
  <c r="E68"/>
  <c r="E62" s="1"/>
  <c r="E114"/>
  <c r="E90" s="1"/>
  <c r="F114"/>
  <c r="E4" i="39"/>
  <c r="F23" i="8"/>
  <c r="F21"/>
  <c r="I25" i="33"/>
  <c r="I24" s="1"/>
  <c r="G135"/>
  <c r="F135" s="1"/>
  <c r="G68"/>
  <c r="F39" i="5"/>
  <c r="L39"/>
  <c r="L89" s="1"/>
  <c r="G89" l="1"/>
  <c r="I43"/>
  <c r="F83"/>
  <c r="K102" i="33"/>
  <c r="G116"/>
  <c r="K116" s="1"/>
  <c r="F121"/>
  <c r="K68"/>
  <c r="F68"/>
  <c r="K109"/>
  <c r="F109"/>
  <c r="H67" i="5"/>
  <c r="F67"/>
  <c r="C26" i="39"/>
  <c r="C175" s="1"/>
  <c r="I68" i="5"/>
  <c r="I67" s="1"/>
  <c r="I77"/>
  <c r="I72" s="1"/>
  <c r="H57"/>
  <c r="H54" s="1"/>
  <c r="P43"/>
  <c r="F20"/>
  <c r="H26"/>
  <c r="F26"/>
  <c r="K114" i="33"/>
  <c r="F58" i="5"/>
  <c r="H58"/>
  <c r="F72"/>
  <c r="H72"/>
  <c r="H43"/>
  <c r="F43"/>
  <c r="H22"/>
  <c r="F22"/>
  <c r="H20"/>
  <c r="F54"/>
  <c r="K49" i="33"/>
  <c r="K121"/>
  <c r="G62"/>
  <c r="E41" i="39"/>
  <c r="E45"/>
  <c r="D26"/>
  <c r="I90" i="33"/>
  <c r="I193" s="1"/>
  <c r="I89" i="5" l="1"/>
  <c r="F89"/>
  <c r="H89"/>
  <c r="D158" i="39"/>
  <c r="D175"/>
  <c r="F116" i="33"/>
  <c r="K101"/>
  <c r="K62"/>
  <c r="F62"/>
  <c r="E26" i="39"/>
  <c r="P86" i="5"/>
  <c r="K135" i="33"/>
  <c r="P83" i="5" l="1"/>
  <c r="K100" i="33"/>
  <c r="G175"/>
  <c r="F175" s="1"/>
  <c r="E175"/>
  <c r="E170" s="1"/>
  <c r="G160"/>
  <c r="F160" s="1"/>
  <c r="E160"/>
  <c r="G158"/>
  <c r="E158"/>
  <c r="G150"/>
  <c r="F150" s="1"/>
  <c r="E150"/>
  <c r="E123" s="1"/>
  <c r="G88"/>
  <c r="F88" s="1"/>
  <c r="G86"/>
  <c r="F86" s="1"/>
  <c r="G84"/>
  <c r="G80"/>
  <c r="G76"/>
  <c r="F76" s="1"/>
  <c r="E70"/>
  <c r="G53"/>
  <c r="E53"/>
  <c r="E47"/>
  <c r="K41"/>
  <c r="G34"/>
  <c r="F34" s="1"/>
  <c r="E34"/>
  <c r="G25"/>
  <c r="F25" s="1"/>
  <c r="E25"/>
  <c r="E14"/>
  <c r="K14" s="1"/>
  <c r="G12"/>
  <c r="E12"/>
  <c r="E11" s="1"/>
  <c r="F53" l="1"/>
  <c r="G46"/>
  <c r="G79"/>
  <c r="E46"/>
  <c r="K99"/>
  <c r="E157"/>
  <c r="G11"/>
  <c r="K80"/>
  <c r="F80"/>
  <c r="F158"/>
  <c r="G157"/>
  <c r="F157" s="1"/>
  <c r="K84"/>
  <c r="F84"/>
  <c r="K53"/>
  <c r="K86"/>
  <c r="K158"/>
  <c r="K47"/>
  <c r="K88"/>
  <c r="K160"/>
  <c r="K25"/>
  <c r="K34"/>
  <c r="K36"/>
  <c r="K12"/>
  <c r="G70"/>
  <c r="K76"/>
  <c r="K150"/>
  <c r="G123"/>
  <c r="G170"/>
  <c r="K175"/>
  <c r="G24"/>
  <c r="F24" s="1"/>
  <c r="E33"/>
  <c r="E24"/>
  <c r="G33"/>
  <c r="F33" s="1"/>
  <c r="F79"/>
  <c r="F46" l="1"/>
  <c r="E193"/>
  <c r="G97"/>
  <c r="K98"/>
  <c r="K46"/>
  <c r="K170"/>
  <c r="F170"/>
  <c r="K70"/>
  <c r="F70"/>
  <c r="K123"/>
  <c r="F123"/>
  <c r="K157"/>
  <c r="K33"/>
  <c r="K24"/>
  <c r="K79"/>
  <c r="K11"/>
  <c r="F97" l="1"/>
  <c r="K97"/>
  <c r="G90"/>
  <c r="G193" s="1"/>
  <c r="F17" i="8"/>
  <c r="E17"/>
  <c r="H57"/>
  <c r="H51"/>
  <c r="H45"/>
  <c r="H41"/>
  <c r="H34"/>
  <c r="H32"/>
  <c r="H28"/>
  <c r="H24"/>
  <c r="H22"/>
  <c r="H19"/>
  <c r="H18"/>
  <c r="H15"/>
  <c r="E47"/>
  <c r="E46" s="1"/>
  <c r="F47"/>
  <c r="F46" s="1"/>
  <c r="E13" i="6"/>
  <c r="E15" s="1"/>
  <c r="K90" i="33" l="1"/>
  <c r="F90"/>
  <c r="F193" s="1"/>
  <c r="K193"/>
  <c r="H17" i="8"/>
  <c r="H47"/>
  <c r="H25"/>
  <c r="E39" i="5" l="1"/>
  <c r="E89" s="1"/>
  <c r="P67"/>
  <c r="E38" i="22" l="1"/>
  <c r="E9"/>
  <c r="E73"/>
  <c r="D73"/>
  <c r="F70"/>
  <c r="F67"/>
  <c r="F66"/>
  <c r="F65"/>
  <c r="F62"/>
  <c r="F61"/>
  <c r="F57"/>
  <c r="F54"/>
  <c r="F53"/>
  <c r="F51"/>
  <c r="F45"/>
  <c r="D42"/>
  <c r="F41"/>
  <c r="F40"/>
  <c r="F39"/>
  <c r="F38"/>
  <c r="F37"/>
  <c r="F36"/>
  <c r="F35"/>
  <c r="F27"/>
  <c r="F25"/>
  <c r="F21"/>
  <c r="F20"/>
  <c r="F17" s="1"/>
  <c r="F15"/>
  <c r="F12" s="1"/>
  <c r="F10"/>
  <c r="F9"/>
  <c r="F8"/>
  <c r="F44" i="8"/>
  <c r="F56"/>
  <c r="F55" s="1"/>
  <c r="F16"/>
  <c r="F33"/>
  <c r="F30" s="1"/>
  <c r="E44"/>
  <c r="E43" s="1"/>
  <c r="E56"/>
  <c r="E55" s="1"/>
  <c r="E16"/>
  <c r="E21"/>
  <c r="E23"/>
  <c r="E33"/>
  <c r="E30" s="1"/>
  <c r="E37"/>
  <c r="F14"/>
  <c r="F13" s="1"/>
  <c r="E14"/>
  <c r="E13" s="1"/>
  <c r="G18" i="7"/>
  <c r="F17"/>
  <c r="F16" s="1"/>
  <c r="F19" s="1"/>
  <c r="E17"/>
  <c r="E16" s="1"/>
  <c r="E19" s="1"/>
  <c r="D26" i="5"/>
  <c r="D89" s="1"/>
  <c r="D39"/>
  <c r="P39" s="1"/>
  <c r="D27" i="1"/>
  <c r="N27" s="1"/>
  <c r="D11"/>
  <c r="N11" s="1"/>
  <c r="D13"/>
  <c r="N13" s="1"/>
  <c r="N19"/>
  <c r="D23"/>
  <c r="N23" s="1"/>
  <c r="D25"/>
  <c r="N25" s="1"/>
  <c r="N30"/>
  <c r="F13" i="6"/>
  <c r="F15" s="1"/>
  <c r="D13"/>
  <c r="D15" s="1"/>
  <c r="N14"/>
  <c r="H13" i="8" l="1"/>
  <c r="P89" i="5"/>
  <c r="P26"/>
  <c r="F50" i="22"/>
  <c r="D32" i="1"/>
  <c r="N32" s="1"/>
  <c r="H16" i="8"/>
  <c r="F60" i="22"/>
  <c r="F64"/>
  <c r="P12" i="5"/>
  <c r="G17" i="7"/>
  <c r="H56" i="8"/>
  <c r="H44"/>
  <c r="H33"/>
  <c r="H31"/>
  <c r="H23"/>
  <c r="H21"/>
  <c r="H14"/>
  <c r="F20"/>
  <c r="E20"/>
  <c r="E58" s="1"/>
  <c r="N15" i="6"/>
  <c r="G16" i="7"/>
  <c r="F43" i="8"/>
  <c r="H43" s="1"/>
  <c r="N13" i="6"/>
  <c r="H30" i="8" l="1"/>
  <c r="H46"/>
  <c r="H55"/>
  <c r="H20"/>
  <c r="G19" i="7"/>
  <c r="F37" i="8"/>
  <c r="H37" s="1"/>
  <c r="H38"/>
  <c r="F58" l="1"/>
  <c r="H58" s="1"/>
</calcChain>
</file>

<file path=xl/sharedStrings.xml><?xml version="1.0" encoding="utf-8"?>
<sst xmlns="http://schemas.openxmlformats.org/spreadsheetml/2006/main" count="1826" uniqueCount="436">
  <si>
    <t>Dział</t>
  </si>
  <si>
    <t>Nazwa podziałki klasyfikacji budżetowej</t>
  </si>
  <si>
    <t>Prognozowane dochody budżetu</t>
  </si>
  <si>
    <t>Powiatu Białogardzkiego</t>
  </si>
  <si>
    <t>(ogółem)</t>
  </si>
  <si>
    <t>związane z realizacją zadań z zakresu administracji rządowej oraz innych zadań zleconych ustawami</t>
  </si>
  <si>
    <t>związane z realizacją zadań z zakresu administracji rządowej na podstawie porozumień z organami tej administracji</t>
  </si>
  <si>
    <t>Wydatki budżetu</t>
  </si>
  <si>
    <t>Rozdział</t>
  </si>
  <si>
    <t>Wydatki bieżące</t>
  </si>
  <si>
    <t>w tym</t>
  </si>
  <si>
    <t>Wydatki na obsługę długu</t>
  </si>
  <si>
    <t xml:space="preserve"> </t>
  </si>
  <si>
    <t>010</t>
  </si>
  <si>
    <t>020</t>
  </si>
  <si>
    <t>Podatek dochodowy od osób fizycznych</t>
  </si>
  <si>
    <t>0010</t>
  </si>
  <si>
    <t>Subwencje ogólne z budżetu państwa</t>
  </si>
  <si>
    <t>0420</t>
  </si>
  <si>
    <t>Wpływy z opłaty komunikacyjnej</t>
  </si>
  <si>
    <t>0470</t>
  </si>
  <si>
    <t>0750</t>
  </si>
  <si>
    <t>0770</t>
  </si>
  <si>
    <t>Wpływy z opłat za zarząd, użytkowanie i użytkowanie wieczyste nieruchomości</t>
  </si>
  <si>
    <t>Dotacje celowe otrzymane z budżetu państwa na zadania bieżące realizowane przez powiat na podstawie porozumień z organami administracji rządowej</t>
  </si>
  <si>
    <t>Dotacje celowe otrzymane z budżetu państwa na realizację bieżących zadań własnych powiatu</t>
  </si>
  <si>
    <t>Razem</t>
  </si>
  <si>
    <t>Rolnictwo i łowiectwo</t>
  </si>
  <si>
    <t>Leśnictwo</t>
  </si>
  <si>
    <t>Gospodarka mieszkaniowa</t>
  </si>
  <si>
    <t>Działalność usługowa</t>
  </si>
  <si>
    <t>Administracja publiczna</t>
  </si>
  <si>
    <t>Bezpieczeństwo publiczne i ochrona przeciwpożarowa</t>
  </si>
  <si>
    <t>Różne rozliczenia</t>
  </si>
  <si>
    <t>Ochrona zdrowia</t>
  </si>
  <si>
    <t>Pomoc społeczna</t>
  </si>
  <si>
    <t>Pozostałe zadania w zakresie polityki społecznej</t>
  </si>
  <si>
    <t>0690</t>
  </si>
  <si>
    <t>Wpływy z różnych opłat</t>
  </si>
  <si>
    <t>Drogi publiczne powiatowe</t>
  </si>
  <si>
    <t>Komendy powiatowe Państwowej Straży Pożarnej</t>
  </si>
  <si>
    <t>Szkoły podstawowe specjalne</t>
  </si>
  <si>
    <t>Licea profilowane</t>
  </si>
  <si>
    <t>Szkoły zawodowe</t>
  </si>
  <si>
    <t>Poradnie psychologiczno-pedagogiczne</t>
  </si>
  <si>
    <t>Placówki wychowania pozaszkolnego</t>
  </si>
  <si>
    <t>Internaty i bursy szkolne</t>
  </si>
  <si>
    <t>Licea ogólnokształcące</t>
  </si>
  <si>
    <t>01005</t>
  </si>
  <si>
    <t>0920</t>
  </si>
  <si>
    <t>Obrona narodowa</t>
  </si>
  <si>
    <t>Pozostałe wydatki obronne</t>
  </si>
  <si>
    <t>0020</t>
  </si>
  <si>
    <t>Podatek dochodowy od osób prawnych</t>
  </si>
  <si>
    <t>Oświata i wychowanie</t>
  </si>
  <si>
    <t>0830</t>
  </si>
  <si>
    <t>0970</t>
  </si>
  <si>
    <t>Wpływy z usług</t>
  </si>
  <si>
    <t>Wpływy z różnych dochodów</t>
  </si>
  <si>
    <t>Pozostałe odsetki</t>
  </si>
  <si>
    <t>Wpłaty z tytułu odpłatnego nabycia prawa własności  oraz prawa użytkowania wieczystego nieruchomości</t>
  </si>
  <si>
    <t>Dochody od osób prawnych, od osób fizycznych i od innych jednostek nieposiadających osobowości prawnej oraz wydatki związane z ich poborem</t>
  </si>
  <si>
    <t>Rozdz.</t>
  </si>
  <si>
    <t>§</t>
  </si>
  <si>
    <t>Prace geodezyjno-urządzeniowe na potrzeby rolnictwa</t>
  </si>
  <si>
    <t>Dot.cel.otrzymane z budżetu państwa na zad. bieżące z zakresu adm. rządowej oraz inne zad. zlecone ustawami realiz.przez powiat</t>
  </si>
  <si>
    <t>02001</t>
  </si>
  <si>
    <t>Gospodarka leśna</t>
  </si>
  <si>
    <t>Środki otrzymane od pozost. jednostek zalicz. do sektora fin. publ. na realizację zadań bieżących jedn. zaliczanych do sektora finansów publ.</t>
  </si>
  <si>
    <t>Transport i łączność</t>
  </si>
  <si>
    <t>Gospodarka gruntami i nieruchomościami</t>
  </si>
  <si>
    <t>Prace geodezyjne i kartograficzne</t>
  </si>
  <si>
    <t>Opracowania geodezyjne i kartograficzne</t>
  </si>
  <si>
    <t>Nadzór budowlany</t>
  </si>
  <si>
    <t>Pozostała działalność</t>
  </si>
  <si>
    <t>Urzędy wojewódzkie</t>
  </si>
  <si>
    <t>Starostwa powiatowe</t>
  </si>
  <si>
    <t>Komisje poborowe</t>
  </si>
  <si>
    <t>Obrona cywilna</t>
  </si>
  <si>
    <t>Udziały powiatów w podatkach stanowiących dochód budżetu państwa</t>
  </si>
  <si>
    <t>Część oświatowa subwencji ogólnej dla jednostek samorządu terytorialnego</t>
  </si>
  <si>
    <t>Część wyrównawcza subwencji ogólnej dla powiatów</t>
  </si>
  <si>
    <t>Różne rozliczenia finansowe</t>
  </si>
  <si>
    <t>Część równoważąca subwencji ogólnej dla powiatów</t>
  </si>
  <si>
    <t>Dokształcanie i doskonalenie nauczycieli</t>
  </si>
  <si>
    <t>Szpitale ogólne</t>
  </si>
  <si>
    <t>Przeciwdziałanie alkoholizmowi</t>
  </si>
  <si>
    <t>Składki na ubezpieczenie zdrowotne oraz świadczenia dla osób nieobjętych obowiązkiem ubezpieczenia zdrowotnego</t>
  </si>
  <si>
    <t>Placówki opiekuńczo-wychowawcze</t>
  </si>
  <si>
    <t>Domy pomocy społecznej</t>
  </si>
  <si>
    <t>Ośrodki wsparcia</t>
  </si>
  <si>
    <t>Zasiłki rodzinne, pielęgnacyjne i wychowawcze</t>
  </si>
  <si>
    <t>Powiatowe centra pomocy rodzinie</t>
  </si>
  <si>
    <t>Zespoły do spraw orzekania o niepełnospr.</t>
  </si>
  <si>
    <t>Powiatowe urzędy pracy</t>
  </si>
  <si>
    <t>Edukacyjna opieka wychowawcza</t>
  </si>
  <si>
    <t>Poradnie psychologiczno-pedagogiczne, w tym poradnie specjalistyczne</t>
  </si>
  <si>
    <t>Pomoc materialna dla uczniów</t>
  </si>
  <si>
    <t>Kultura fizyczna i sport</t>
  </si>
  <si>
    <t>Zadania w zakresie kultury fizycznej i sportu</t>
  </si>
  <si>
    <t>0960</t>
  </si>
  <si>
    <t>02002</t>
  </si>
  <si>
    <t>Nadzór nad gospodarką leśną</t>
  </si>
  <si>
    <t>Działalnośc usługowa</t>
  </si>
  <si>
    <t>Prace geodezyjne i urządzeniowe</t>
  </si>
  <si>
    <t>Rady powiatów</t>
  </si>
  <si>
    <t>Bezpieczeństwo publ. i ochr.przeciwpoż.</t>
  </si>
  <si>
    <t>Komendy wojewódzkie policji</t>
  </si>
  <si>
    <t>Komendy powiat. Państwowej Straży Pożarnej</t>
  </si>
  <si>
    <t>Obsługa długu publicznego</t>
  </si>
  <si>
    <t>Obsługa papierów wartościowychj, kredytów i pożyczek j.s.t</t>
  </si>
  <si>
    <t>Gimnazja specjalne</t>
  </si>
  <si>
    <t>Szkoły zawodowe specjalne</t>
  </si>
  <si>
    <t>Rodziny zastępcze</t>
  </si>
  <si>
    <t>Świadczenia rodzinne oraz składki na ubezpieczenie emerytalne i rentowe z ubezpieczenia społecznego</t>
  </si>
  <si>
    <t>Pozost. zad.w zakresie polityki społecznej</t>
  </si>
  <si>
    <t>Zespoły ds.orzekania o niepełnospr.</t>
  </si>
  <si>
    <t>Kultura i ochrona dziedzictwa narodowego</t>
  </si>
  <si>
    <t>Pozostałe zadania w zakresie kultury</t>
  </si>
  <si>
    <t>Młodzieżowe osrodki wychowawcze</t>
  </si>
  <si>
    <t>01008</t>
  </si>
  <si>
    <t>Melioracje wodne</t>
  </si>
  <si>
    <t>Pomoc materialna dla studentów</t>
  </si>
  <si>
    <t>RAZEM</t>
  </si>
  <si>
    <t>% wykonania do planu</t>
  </si>
  <si>
    <t>Pomoc dla repatriantów</t>
  </si>
  <si>
    <t>Kolonie i obozy oraz inne formy wypoczynku dzieci i młodzieży szkolnej, a także szkol.młodzieży</t>
  </si>
  <si>
    <t>Wykonanie</t>
  </si>
  <si>
    <t>% wykonania</t>
  </si>
  <si>
    <t>0570</t>
  </si>
  <si>
    <t>Młodzieżowe ośrodki wychowawcze</t>
  </si>
  <si>
    <t>Dochody jednostek samorządu terytorialnego związane z realizacją zadań z zakr.admin. rzadowej oraz innych zadań zleconych ustawami</t>
  </si>
  <si>
    <t>Dochody z najmu i dierżawy składników majątkowych Skarbu Państwa, jednostek samorz.teryt. lub innych jednostek zaliczanych do s. f.p. oraz innych umów o podobnym charakterze</t>
  </si>
  <si>
    <t>Dotacje celowe o trzymane z gminy na zadania bieżące realizaowane na podstawie porozumień (umów) między jedn.samorz.terytor.</t>
  </si>
  <si>
    <t>Dotacje celowe otrzymane z powiatu na zadania bieżące realizowane  na podstawie porozumień (umów) między jedn. samorz. teryt.</t>
  </si>
  <si>
    <t>Plan</t>
  </si>
  <si>
    <t>%</t>
  </si>
  <si>
    <t>Gospodarka komunalna i ochrona środowiska</t>
  </si>
  <si>
    <t>700</t>
  </si>
  <si>
    <t>710</t>
  </si>
  <si>
    <t>750</t>
  </si>
  <si>
    <t>Promocja jednostek samorządu terytorialnego</t>
  </si>
  <si>
    <t xml:space="preserve">         w zł</t>
  </si>
  <si>
    <t xml:space="preserve">           w zł</t>
  </si>
  <si>
    <t xml:space="preserve">              w zł</t>
  </si>
  <si>
    <t>Obsługa papierów wartościowych, kredytów i pożyczek j.s.t</t>
  </si>
  <si>
    <t>0680</t>
  </si>
  <si>
    <t xml:space="preserve"> z tego: </t>
  </si>
  <si>
    <t>Wydatki majątkowe</t>
  </si>
  <si>
    <t xml:space="preserve"> z tego :</t>
  </si>
  <si>
    <t>Ośrodki rewalidacyjno-wychowawcze</t>
  </si>
  <si>
    <t>Obiekty sportowe</t>
  </si>
  <si>
    <t>Rehabilitacja zawodowa i społ. osób niepełnosprawnych</t>
  </si>
  <si>
    <t xml:space="preserve">Dotacje celowe otrzymane z budżetu państwa na realizację bieżących zadań własnych powiatu </t>
  </si>
  <si>
    <t>Otrzymane spadki, zapisy i darowizny w postaci pieniężnej</t>
  </si>
  <si>
    <t>Wpływy od rodziców z tytułu odpłatności za utrzymanie dzieci (wychowanków) w placówkach opiekuńczo-wychowawczych</t>
  </si>
  <si>
    <t>Treść</t>
  </si>
  <si>
    <t>Plan po zmianach</t>
  </si>
  <si>
    <t>Grzywny, mandaty i inne kary pienieżne od osób fizycznych</t>
  </si>
  <si>
    <t>Ogółem</t>
  </si>
  <si>
    <t>Prywatne Studium SCHOLAR</t>
  </si>
  <si>
    <t>Prywatne Policealne Studium Zawodowe</t>
  </si>
  <si>
    <t>w zł</t>
  </si>
  <si>
    <t>Dochody z najmu i dzierżawy składników majątkowych Skarbu Państwa, jednostek samorz.teryt. lub innych jednostek zaliczanych do s. f.p. oraz innych umów o podobnym charakterze</t>
  </si>
  <si>
    <t>Zarządzanie kryzysowe</t>
  </si>
  <si>
    <t>Wpływy z innych opłat stanowiących dochody jednostek samorządu terytorialnego na podstawie ustaw</t>
  </si>
  <si>
    <t>0490</t>
  </si>
  <si>
    <t>Wpływyz innych lokalnych opłat pobieranych przez jednostki samorządu terytorialnego na podstawie odrenych ustaw</t>
  </si>
  <si>
    <t>Centra kształcenia ustawicznego i praktyczego oraz ośrodki dokształcania zawodowego</t>
  </si>
  <si>
    <t>Centra kształcenia ustawicznegi i praktycznego</t>
  </si>
  <si>
    <t>Stołówki szkolne</t>
  </si>
  <si>
    <t>Biblioteki</t>
  </si>
  <si>
    <t>Nazwa</t>
  </si>
  <si>
    <t>Lp.</t>
  </si>
  <si>
    <t>Ośrodek Rehabilitacyjno-Edukacyjno-Wychowawczy w Kowalkach</t>
  </si>
  <si>
    <r>
      <t>Wykonanie dotacji podmiotowych
udzielone z budżetu Gminy/Powiatu</t>
    </r>
    <r>
      <rPr>
        <sz val="12"/>
        <rFont val="Times New (W1)"/>
        <family val="1"/>
      </rPr>
      <t xml:space="preserve"> ..............................
</t>
    </r>
    <r>
      <rPr>
        <b/>
        <sz val="12"/>
        <rFont val="Times New (W1)"/>
        <family val="1"/>
      </rPr>
      <t>w 2008 r.</t>
    </r>
  </si>
  <si>
    <t xml:space="preserve">udzielonych z budżetu Powiatu Białogardzkiego </t>
  </si>
  <si>
    <t>na zadania własne powiatu realizowane przez podmioty</t>
  </si>
  <si>
    <t>Nazwa zadania</t>
  </si>
  <si>
    <t xml:space="preserve">należące do sektora finansów publicznych </t>
  </si>
  <si>
    <t>Wpłaty Powiatu Białogardzkiego</t>
  </si>
  <si>
    <t>1.</t>
  </si>
  <si>
    <t>2.</t>
  </si>
  <si>
    <t>3.</t>
  </si>
  <si>
    <t>0910</t>
  </si>
  <si>
    <t>0870</t>
  </si>
  <si>
    <t>0900</t>
  </si>
  <si>
    <t>Odsetki od nieterminowych wpłat z tytułu podatków i opłat</t>
  </si>
  <si>
    <t>Wpływy ze sprzedaży składników majątkowych</t>
  </si>
  <si>
    <t>Dochody bieżące</t>
  </si>
  <si>
    <t>Dochody majątkowe</t>
  </si>
  <si>
    <t>Wykonanie- dochody bieżące</t>
  </si>
  <si>
    <t xml:space="preserve">§ </t>
  </si>
  <si>
    <t>Ośrodki adopcyjno-opiekuńcze</t>
  </si>
  <si>
    <t>01095</t>
  </si>
  <si>
    <t>Straż Graniczna</t>
  </si>
  <si>
    <t>Inne formy kształcenia osobno niewymienione</t>
  </si>
  <si>
    <t>Niepubliczna Szkoła Specjalna Przysposabiająca do Pracy w Kowalkach</t>
  </si>
  <si>
    <t>4.</t>
  </si>
  <si>
    <t>5.</t>
  </si>
  <si>
    <t>6.</t>
  </si>
  <si>
    <t>7.</t>
  </si>
  <si>
    <t>8.</t>
  </si>
  <si>
    <t>Wpływy z innych lokalnych opłat pobieranych przez jednostki samorządu terytorialnego na podstawie odrenych ustaw</t>
  </si>
  <si>
    <t>Dotacje celowe w ramach programów finansowanych z udziałem środków europejskich oraz środków, o których mowa w art.. 5 ust. 1 pkt 3 oraz ust. 3 pkt 5 i 6 ustwawy, lub płatności w ramach budżetu środków europejskich</t>
  </si>
  <si>
    <t>Wpływy ze zwrotów dotacji oraz płatności, w tym wykorzystanych niezgodnie z przeznaczeniem lub wykorzystanych z naruszeniem procedur, o których mowa w art.. 184 ustawy, pobranych nienależnie lub w nadmiernej wysokości</t>
  </si>
  <si>
    <t>Dotacje celowe otrzymane z powatu na inwestycje i zakupy inwestycyjne realizowane na podstawie porozumień między jednostkami samorządu terytorialnego</t>
  </si>
  <si>
    <t>Dotacje otrzymane z państwowych funduszy celowych na finansowanie lub dofinansowanie kosztów realizacji inwestycji i zakupów inwestycyjnych jednostek sektora finansów publicznych</t>
  </si>
  <si>
    <t>Dotacje celowe otrzymane z budżetu państwa na realizację inwestycji i zakupów inwestycyjnych własnych powiatu</t>
  </si>
  <si>
    <t>Wpływy i wydatki związane z gromadzeniem środków z opłat i kar za korzystanie ze środowiska</t>
  </si>
  <si>
    <t>Zadania w zakresie przeciwdziałania przemocy w rodzinie</t>
  </si>
  <si>
    <t>Wynagrodzenia i składki od nich naliczane</t>
  </si>
  <si>
    <t>Dotacje na zadania bieżące</t>
  </si>
  <si>
    <t>Wydatki na programy finansowane z udziałem środków, o których mowa w art.. 5 ust.1 pkt 2i 3 ustawy o fin.publ., w części zwiazanej z realizacją zadań</t>
  </si>
  <si>
    <t>Wydatki związane z realizacją zadań statutowych</t>
  </si>
  <si>
    <t>dochody bieżące</t>
  </si>
  <si>
    <t>dochody majątkowe</t>
  </si>
  <si>
    <t xml:space="preserve">Przychody i rozchody 
</t>
  </si>
  <si>
    <t>budżetu Powiatu Białogardzkiego</t>
  </si>
  <si>
    <t>Klasyfikacja
§</t>
  </si>
  <si>
    <t>Przychody ogółem:</t>
  </si>
  <si>
    <t>Kredyty</t>
  </si>
  <si>
    <t>§ 952</t>
  </si>
  <si>
    <t>Pożyczki</t>
  </si>
  <si>
    <t>§ 903</t>
  </si>
  <si>
    <t>Spłaty pożyczek udzielonych</t>
  </si>
  <si>
    <t>§ 951</t>
  </si>
  <si>
    <t>Prywatyzacja majątku jst</t>
  </si>
  <si>
    <t xml:space="preserve">§ 944 </t>
  </si>
  <si>
    <t>Nadwyżka budżetu z lat ubiegłych</t>
  </si>
  <si>
    <t>§ 957</t>
  </si>
  <si>
    <t>Papiery wartościowe (obligacje)</t>
  </si>
  <si>
    <t>§ 931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</si>
  <si>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</si>
  <si>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</si>
  <si>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</si>
  <si>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</si>
  <si>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</si>
  <si>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</si>
  <si>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</si>
  <si>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</si>
  <si>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</si>
  <si>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</si>
  <si>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</si>
  <si>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</si>
  <si>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</si>
  <si>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</si>
  <si>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>Pożyczki na finansowanie zadań realizowanych z udziałem środków pochodzących z budżetu UE</t>
  </si>
  <si>
    <t>Realizacja</t>
  </si>
  <si>
    <t>Tabela Nr 1</t>
  </si>
  <si>
    <t>Tabela Nr 3</t>
  </si>
  <si>
    <t>Tabela Nr 2</t>
  </si>
  <si>
    <t>Tabela Nr 4</t>
  </si>
  <si>
    <t>Według działów i rozdziałów klasyfikacji oraz ważniejszych źródeł:</t>
  </si>
  <si>
    <t>Nazwa instytucji lub zadania</t>
  </si>
  <si>
    <t>Prywatne Liceum Ogólnokształcące SCHOLAR dla Dorosłych po ZSZ</t>
  </si>
  <si>
    <t>Prywatne Liceum Ogólnokształcące SCHOLAR dla Dorosłych</t>
  </si>
  <si>
    <t>Prywatne Liceum Ogólnokształcące SCHOLAR - dla młodzieży</t>
  </si>
  <si>
    <t>Prywatne Liceum Ogólnokształcące dla Dorosłych</t>
  </si>
  <si>
    <t>Prywatne Liceum Profilowane SCHOLAR dla Dorosłych</t>
  </si>
  <si>
    <t xml:space="preserve"> Dotacje  celowe udzielone z budżetu Powiatu Białogardzkiego</t>
  </si>
  <si>
    <t>Warsztaty Terapii Zajęciowej ISKIERKA w Karlinie</t>
  </si>
  <si>
    <t>Biblioteka Powiatowa</t>
  </si>
  <si>
    <t>2317, 2319</t>
  </si>
  <si>
    <t>Rodzina Razem - Miasto Białogard</t>
  </si>
  <si>
    <t>Rodzina Razem - Gmina Białogard</t>
  </si>
  <si>
    <t>Rodzina razem - Gmina Tychowo</t>
  </si>
  <si>
    <t>Rodzina Razem - Gmina Karlino</t>
  </si>
  <si>
    <t>Kwota przekazana</t>
  </si>
  <si>
    <t>Planowana dotacja</t>
  </si>
  <si>
    <t>Tabela Nr 5</t>
  </si>
  <si>
    <t>Tabela Nr 6</t>
  </si>
  <si>
    <t>Tabela Nr 8</t>
  </si>
  <si>
    <t>Dotacje celowe</t>
  </si>
  <si>
    <t>udzielone z budżetu Powiatu Białogardzkiego</t>
  </si>
  <si>
    <t>Dotacja dla Stowarzyszenia "SOS Wioski Dziecięce" w Karlinie na prowadzenie placówki opiekuńczo-wychowawczej</t>
  </si>
  <si>
    <t>Prowadzenie Domu Pomocy Społecznej w Białogardzie o zasięgu ponadgminnym (powiatowym) dla osób w podeszłym wieku i osób przewlekle somatycznie chorych - dotacja dla Stowarzyszenia Pomocy PRZYTULISKO w Białogardzie</t>
  </si>
  <si>
    <t>Upowszechnianie kultury fizycznej i sportu realizowane poprzez organizację imprez sportowych dla dzieci i młodzieży w Powiecie Białogardzkim</t>
  </si>
  <si>
    <t>Tabela Nr 7</t>
  </si>
  <si>
    <t>Tabela Nr 9</t>
  </si>
  <si>
    <t>Pomoc finansowa dla Gminy Karlino na zadanie p.n. "Budowa hali widowiskowo-sportowej w Karlinie"</t>
  </si>
  <si>
    <t>Tabela Nr 10</t>
  </si>
  <si>
    <t xml:space="preserve">nienależące do sektora finansów publicznych </t>
  </si>
  <si>
    <t xml:space="preserve">na pomoc finansową innym jednostkom samorządu terytorialnego </t>
  </si>
  <si>
    <t>Tabela Nr 12</t>
  </si>
  <si>
    <t>Tabela Nr 13</t>
  </si>
  <si>
    <t>Kwalifikacja wojskowa</t>
  </si>
  <si>
    <t>Stołówki szkolne i przedszkolne</t>
  </si>
  <si>
    <t>Inspekcja sanitarna</t>
  </si>
  <si>
    <t>Ochrona zabytków i opieka nad zabytkami</t>
  </si>
  <si>
    <t>Środki z Funduszu Pracy otrzymane przez powiat z przeznaczeniem na finansowanie kosztów wynagrodzeń i składek na ubezpieczenia społeczne pracowników powiatowego urzędu pracy</t>
  </si>
  <si>
    <t>Dotacja celowa otrzymana z tytułu pomocy finansowej udzielanej między jednostkami samorządu terytorialnego na dofinansowanie własnych zadań bieżących</t>
  </si>
  <si>
    <t>Dotacja celowa otrzymana z tytułu pomocy finansowej udzielanej między jednostkami samorządu terytorialnego na dofinansowanie własnych zadań inwestycyjnych i zakupów inwestycyjnych</t>
  </si>
  <si>
    <t>Odsetki od dotacji oraz płatności: wykorzystanych niezgodnie z przeznaczeniem lub wykorzystanych z naruszeniem procedur, o których mowa w art.. 184 ustawy, pobranych nienależnie lub w nadmiernej wysokości</t>
  </si>
  <si>
    <t>Dotacje celowe w ramach programów finansowanych z udzialem środków europejskich oraz środków, o których mowa w art.. 5 ust. 1 pkt 3 oraz ust. 3 pkt 5 i 6 ustawy, lub płatności w ramach budżetu środków europejskich</t>
  </si>
  <si>
    <t>Środki na dofinansowanie własnych  inwestycji gmin, powiatów, samorządów województw, pozyskane z innych źródeł</t>
  </si>
  <si>
    <t>Dotacje celowe otrzymane z gminy na zadania realizowane na podstawie porozumień (umów) między jedmostkami samorzadu terytorialnego</t>
  </si>
  <si>
    <t>Wydatki majątkowe na inwestycje i zakupy inwestycyjne</t>
  </si>
  <si>
    <t>w tym wydatki na programy finansowane z udziałem środków, o których mowa w art.. 5 ust.1 pkt 2i 3 ustawy o fin.publ., w części zwiazanej z realizacją zadań</t>
  </si>
  <si>
    <t>Inwestycje i zakupy inwestycyjne</t>
  </si>
  <si>
    <t>Rezerwy ogólne i celowe</t>
  </si>
  <si>
    <t>Komendy powiatowe Policji</t>
  </si>
  <si>
    <t>Warsztaty Terapii Zajęciowej w Białogardzie</t>
  </si>
  <si>
    <t>Dotacja dla Fundacji IBIS na prowadzenie Wielofunkcyjnej Placówki Opiekuńczo-Wychowawczej DORIAN</t>
  </si>
  <si>
    <t>Fundusz Wsparcia Policji</t>
  </si>
  <si>
    <t>Zwroty dotacji</t>
  </si>
  <si>
    <t>otrzymanych w latach poprzednich</t>
  </si>
  <si>
    <t>Przeznaczenie dotacji</t>
  </si>
  <si>
    <t>z tego</t>
  </si>
  <si>
    <t xml:space="preserve"> z tytułu dotacji na finansowanie wydatków na realizacje zadań finansowanych z udziałem śodków, o których mowa w art. 5 ust. 1 pkt 2 i 3 </t>
  </si>
  <si>
    <t>Środki z Funduszu Pracy otrzymane przez powiat z przeznacz. na finansowanie kosztów wynagrodzeń i składek na ubezpieczenia społeczne pracowników powiatowego urzędu pracy</t>
  </si>
  <si>
    <t>Świadczenia na rzecz osób fizycznych</t>
  </si>
  <si>
    <t>Dotacje celowe otrzymane z budżetu oaństwa na zadania bieżące z zakresu administracji rządowej oraz inne zadania zlecone ustawami realizowane przez powiat</t>
  </si>
  <si>
    <t>Uzupełnienie subwencji ogólnej dla jednostek samorządu terytorialnego</t>
  </si>
  <si>
    <t>Środki na inwestycje na drogach publicznych powiatowych i wojewódzkich oraz na drogach powiatowych, wojewódzkich i krajowych w granicach miast na prawach powiatu</t>
  </si>
  <si>
    <t>Dotacje celowe otrzymane z powiatu na inwestycje i zakupy inwestycyjne realizowane na podstawie porozumień |(umów) między jednostkami  samorządu terytorialnego</t>
  </si>
  <si>
    <t>Pozstała działalność</t>
  </si>
  <si>
    <t>Środki otrzymane od pozostałych jednostek zaliczanych do sektora finansów pub;ic\znych na finansowanie lub dofinansowanie  kosztów realizacji inwestycji i zakupów inwestycyjnych jednostek zaliczanych do sektora finansów publicznych</t>
  </si>
  <si>
    <t>w I półroczu 2012 roku</t>
  </si>
  <si>
    <t>w I półroczu  2012 roku</t>
  </si>
  <si>
    <t>Tabela nr 13</t>
  </si>
  <si>
    <t>Wykonanie wydatków</t>
  </si>
  <si>
    <t>Paragraf</t>
  </si>
  <si>
    <t>Wydatki wykonane</t>
  </si>
  <si>
    <t>Zakup usług pozostałych</t>
  </si>
  <si>
    <t>Pozostałe podatki na rzecz budżetów jednostek samorządu terytorialnego</t>
  </si>
  <si>
    <t>Różne wydatki na rzecz osób fizycznych</t>
  </si>
  <si>
    <t>Zakup materiałów i wyposażenia</t>
  </si>
  <si>
    <t>Podatek od towarów i usług (VAT)</t>
  </si>
  <si>
    <t>Dotacje celowe przekazane gminie na zadania bieżące realizowane na podstawie porozumień (umów) między jst</t>
  </si>
  <si>
    <t>Wydatki osobowe niezaliczone do wynagrodzeń</t>
  </si>
  <si>
    <t>Wynagrodzenia osobowe pracowników</t>
  </si>
  <si>
    <t>Dodatkowe wynagrodzenie roczne</t>
  </si>
  <si>
    <t>Składki na ubezpieczenia społeczne</t>
  </si>
  <si>
    <t>Składki na Fundusz Pracy</t>
  </si>
  <si>
    <t>Wynagrodzenia bezosobowe</t>
  </si>
  <si>
    <t>Zakup energii</t>
  </si>
  <si>
    <t>Zakup usług remontowych</t>
  </si>
  <si>
    <t>Zakup usług zdrowotnych</t>
  </si>
  <si>
    <t>Zakup usług dostępu do sieci Internet</t>
  </si>
  <si>
    <t>Opłaty z tytułu zakupu usług telekomunikacyjnych telefonii komórkowej</t>
  </si>
  <si>
    <t>Opłaty z tytułu zakupu usług telekomunikacyjnych telefonii stacjonarnej</t>
  </si>
  <si>
    <t>Podróże służbowe krajowe</t>
  </si>
  <si>
    <t>Odpisy na zakładowy fundusz świadczeń socjalnych</t>
  </si>
  <si>
    <t>Podatek od nieruchomości</t>
  </si>
  <si>
    <t>Opłaty na rzecz budżetu państwa</t>
  </si>
  <si>
    <t>Opłaty na rzecz budżetów JST</t>
  </si>
  <si>
    <t>Koszty postępowania sądowego i prokuratorskiego</t>
  </si>
  <si>
    <t>Szkolenia pracowników niebędących członkami korpusu służby cywilnej</t>
  </si>
  <si>
    <t>Wydatki inwestycyjne jednostek budżetowych</t>
  </si>
  <si>
    <t>Wydatki na zakupy inwestycyjne jednostek budżetowych</t>
  </si>
  <si>
    <t>Dotacje celowe przekazane gminie na inwestycje i zakupy inwestycyjne realizowane na podstawie porozumień (umów) między jst</t>
  </si>
  <si>
    <t>Drogi publiczne gminne</t>
  </si>
  <si>
    <t>Dotacja celowa na pomoc finansową udzielana między jednostkami samorządu terytorialnego na dofinansowanie własnych zadań inwestycyjnych i zakupów inwestycyjnych</t>
  </si>
  <si>
    <t>Opłaty za administrowanie i czynsze za budynki, lokale i pomieszczenia garażowe</t>
  </si>
  <si>
    <t>Wynagrodzenia osobowe członków korpusu służby cywilnej</t>
  </si>
  <si>
    <t>Różne opłaty i składki</t>
  </si>
  <si>
    <t>Wpłaty na Państwowy Fundusz Rehabilitacji Osób Niepełnosprawnych</t>
  </si>
  <si>
    <t>Zakup pomocy naukowych, dydaktycznych i książek</t>
  </si>
  <si>
    <t>Zakup usług obejmujących tłumaczenia</t>
  </si>
  <si>
    <t>Podróże służbowe zagraniczne</t>
  </si>
  <si>
    <t>Kary i odszkodowania wypłacane na rzecz osób fizycznych</t>
  </si>
  <si>
    <t>Kary i odszkodowania wypłacane na rzecz osób prawnych i innych jednostek organizacyjnych</t>
  </si>
  <si>
    <t>Promocja jednostek samorządu terytorialnego,</t>
  </si>
  <si>
    <t>Rezerwy</t>
  </si>
  <si>
    <t>Komendy powiatowe policji</t>
  </si>
  <si>
    <t>Wpłaty jednostek na fundusz celowy</t>
  </si>
  <si>
    <t>Wydatki osobowe nie zaliczone do uposażeń wypłacane żołnierzom i funkcjonariuszom</t>
  </si>
  <si>
    <t>Uposażenia żołnierzy zawodowych i nadterminowych oraz funkcjonariuszy</t>
  </si>
  <si>
    <t>Pozostałe należności żołnierzy zawodowych i nadterminowych oraz funkcjonariuszy</t>
  </si>
  <si>
    <t>Dodatkowe uposażenie roczne dla żołnierzy zawodowych oraz nagrody roczne dla funkcjonariuszy</t>
  </si>
  <si>
    <t>Równoważniki pieniężne i ekwiwalenty dla żołnierzy i funkcjonariuszy</t>
  </si>
  <si>
    <t>Zakup leków, wyrobów medycznych i produktów biobójczych</t>
  </si>
  <si>
    <t>Zakup sprzętu i uzbrojenia</t>
  </si>
  <si>
    <t>Pozostałe podatki na rzecz budżetów JST</t>
  </si>
  <si>
    <t>Rozliczenia z bankami związane o obsługą długu publicznego</t>
  </si>
  <si>
    <t>Odsetki i dyskonto od skarbowych papierów wartościowych, kredytów i pożyczek oraz innych instrumentów finansowych, związanych z obsługą długu krajowego</t>
  </si>
  <si>
    <t>Dotacja podmiotowa z budżetu dla niepublicznej jednostki systemu oświaty</t>
  </si>
  <si>
    <t>Zakup akcesoriów komputerowych, w tym programów i licencji</t>
  </si>
  <si>
    <t>Stypendia dla uczniów</t>
  </si>
  <si>
    <t>Zakup środków żywności</t>
  </si>
  <si>
    <t>Pokrycie ujemnego wyniku finansowego i przejetych zobowiązań po likwidowanych i przekształcanych jednostkach zaliczanych do sektora finansów publicznych</t>
  </si>
  <si>
    <t>Dotacje celowe z budżetu na finansowanie lub dofinansowanie kosztów realizacji inwestycji i zakupów inwestycyjnych innych jednostek sektora finansów publicznych</t>
  </si>
  <si>
    <t>Ratownicto medyczne</t>
  </si>
  <si>
    <t xml:space="preserve">Składki na ubezpieczenie zdrowotne </t>
  </si>
  <si>
    <t>Dotacje celowe przekazane dla powiatu na zadania bieżące realizowane na podstawie porozumień (umów) między jst</t>
  </si>
  <si>
    <t>Dotacje celowe z budżetu jednostki samorządu terytorialnego, udzielone w trybie art.. 221 ustawy, na finansowanie lub dofinansowanie zadań zleconych do realizacji organizacjom prowadzącym działalność pożytku publicznego</t>
  </si>
  <si>
    <t>Dotacja celowa z budżetu na finansowanie lub dofinansowanie zadań zleconych do realizacji fundacjom</t>
  </si>
  <si>
    <t>Świadczenia społeczne</t>
  </si>
  <si>
    <t>Zakup usług dostepu do sieci Internet</t>
  </si>
  <si>
    <t>Dotacja celowa z budżetu na finansowanie lub dofinansowanie zadań zleconych do realizacji stowarzyszeniom</t>
  </si>
  <si>
    <t>Dotacje celowe przekazane dla powiatu na zadania bieżące realizowane na podstawie porozumień (umów) między JST</t>
  </si>
  <si>
    <t>Dotacje celowe przekazane gminie na zadania bieżące realizowane na podstawie porozumień (umów) między jednostkami samorządu terytorialnego</t>
  </si>
  <si>
    <t xml:space="preserve">Świadczenia społeczne </t>
  </si>
  <si>
    <t>Bibliteki</t>
  </si>
  <si>
    <t>Dotacje celowe z budżetu na finansowanie lub dofinansowanie prac remontowych i konserwatorskich obiektów zabytkowych przekazane jednostkom niezaliczanym do sektora finansów publicznych</t>
  </si>
  <si>
    <t xml:space="preserve">Kultura fizyczna </t>
  </si>
  <si>
    <t>Zwrot dotacji oraz płatności, w tym wykorzystanych niezgodnie z przeznaczeniem lub wykorzystanych z naruszeniem procedur, o których mowa w art.. 184 ustawy, pobranych nienależnie lub w nadmiernej wysokości</t>
  </si>
  <si>
    <t>Dotacja celowa na pomoc finansową udzielana między jednostkami samorządu terytorialnego na dofinansowanie własnych zadań bieżących</t>
  </si>
  <si>
    <t xml:space="preserve"> w pierwszym półroczu 2012 roku</t>
  </si>
  <si>
    <t>Ochotnicze straże pożarne</t>
  </si>
  <si>
    <t>w I półroczu 2012 r.</t>
  </si>
  <si>
    <t>§ 950</t>
  </si>
  <si>
    <t xml:space="preserve">Inne źródła </t>
  </si>
  <si>
    <t>9.</t>
  </si>
  <si>
    <t>Wolne środki</t>
  </si>
  <si>
    <t xml:space="preserve">% </t>
  </si>
  <si>
    <t>Dochody budżetu państwa związane z realizacją zadań zlecanych jednostkom samorządu terytorialnego</t>
  </si>
  <si>
    <t>Odsetki od nieterminowych wpłat z tytułu podatków i opłat</t>
  </si>
  <si>
    <t>Wpływy z różnych opłat</t>
  </si>
  <si>
    <t>Wpływy z wpłat gmin i powiatów na rzecz innych jednostek samorządu terytorialnego oraz związków gmin lub związków powiatów na dofinansowanie zadań bieżących</t>
  </si>
  <si>
    <t>Uzupełnienie subwencji ogólnej</t>
  </si>
  <si>
    <t>Dotacja dla Gminy Tychowo na organizację Dożynek Powiatowo-Gminnych w Tychowie</t>
  </si>
  <si>
    <t>na wyodrębnione Fundusze Wsparcia</t>
  </si>
  <si>
    <t>w 2012 r.</t>
  </si>
  <si>
    <t xml:space="preserve"> Powiatu Białogardzkiego w 2012 r. </t>
  </si>
  <si>
    <t>Przebudowa mostu z dojazdami w miejscowości Malonowo droga nr 1157Z</t>
  </si>
  <si>
    <t>Adaptacja i remont budynku przy Placu Wolności 16-17 w Białogardzie na siedzibę starostwa</t>
  </si>
  <si>
    <t>Wydatki na zakupy inwestycyjne w Starostwie Powiatowym w Białogardzie</t>
  </si>
  <si>
    <t>Dofinansowanie zakupu samochodu dla Komendy Powiatowej Państwowej Straży Pożarnej w Białogardzie</t>
  </si>
  <si>
    <t>Dostosowanie budynku Liceum Ogólnokształcącego do potrzeb osób niepełnosprawnych</t>
  </si>
  <si>
    <t>Przebudowa i modernizacja Szpitala po byłych Jednostkach Armii Radzieckiej na Centrum Rehabilitacji z oddziałami Szpitala Rejonowego w Białogardzie</t>
  </si>
  <si>
    <t>Modernizacja systemu grzewczego Zespołu Szkół Specjalnych w Białogardzie w ramach Szwajcarskiego Mechanizmu Finansowego</t>
  </si>
  <si>
    <t>Modernizacja systemu grzewczego Liceum Ogólnokształcącego w Białogardzie w ramach Szwajcarskiego Mechanizmu Finansowego</t>
  </si>
  <si>
    <t>Modernizacja systemu grzewczego Zespołu Szkół Ponadgimnazjalnych w Białogardzie w ramach Szwajcarskiego Mechanizmu Finansowego</t>
  </si>
  <si>
    <t>Modernizacja systemu grzewczego Zespołu Szkół Ponadgimnazjalnych w Tychowie w ramach Szwajcarskiego Mechanizmu Finansowego</t>
  </si>
  <si>
    <t>Tabela Nr 11</t>
  </si>
  <si>
    <t>Prywatne Uzupełniające Liceum Ogólnokształcące dla Dorosłych</t>
  </si>
  <si>
    <t>I Prywatne Liceum Ogólnokształcące - dla młodzieży</t>
  </si>
  <si>
    <t>Zwrot dotacji wykorzystanych niezgodnie z przeznaczeniem lub pobranych w nadmiernej wysokości</t>
  </si>
  <si>
    <t>Wykonanie w I półroczu 2012r.</t>
  </si>
  <si>
    <t>Dotacje dla innych powiatów na pokrycie kosztów utrzymania dzieci z Powiatu Białogardzkiego w placówkach opiekunczo-wychowawczych</t>
  </si>
  <si>
    <t>Dotacje dla innych powiatów na pokrycie kosztów utrzymania dzieci z Powiatu Białogardzkiego w rodzinach zastępczych</t>
  </si>
  <si>
    <t>Centra kształcenia ustawicznego i praktycznego</t>
  </si>
  <si>
    <t>Dofinansowanie działalności ochotniczej straży pożarnej z terenu Powiau Białogardzkiego</t>
  </si>
  <si>
    <t>Fundusz Wsparcia Morskiego Oddziału Straży Granicznej</t>
  </si>
</sst>
</file>

<file path=xl/styles.xml><?xml version="1.0" encoding="utf-8"?>
<styleSheet xmlns="http://schemas.openxmlformats.org/spreadsheetml/2006/main">
  <numFmts count="7">
    <numFmt numFmtId="43" formatCode="_-* #,##0.00\ _z_ł_-;\-* #,##0.00\ _z_ł_-;_-* &quot;-&quot;??\ _z_ł_-;_-@_-"/>
    <numFmt numFmtId="164" formatCode="_-* #,##0.0\ _z_ł_-;\-* #,##0.0\ _z_ł_-;_-* &quot;-&quot;??\ _z_ł_-;_-@_-"/>
    <numFmt numFmtId="165" formatCode="_-* #,##0\ _z_ł_-;\-* #,##0\ _z_ł_-;_-* &quot;-&quot;??\ _z_ł_-;_-@_-"/>
    <numFmt numFmtId="166" formatCode="0.0"/>
    <numFmt numFmtId="167" formatCode="#,##0.0_ ;\-#,##0.0\ "/>
    <numFmt numFmtId="168" formatCode="#,##0.00_ ;\-#,##0.00\ "/>
    <numFmt numFmtId="169" formatCode="#,##0.0"/>
  </numFmts>
  <fonts count="56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sz val="11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(W1)"/>
      <family val="1"/>
    </font>
    <font>
      <sz val="8"/>
      <name val="Times New (W1)"/>
      <family val="1"/>
    </font>
    <font>
      <b/>
      <sz val="10"/>
      <name val="Times New (W1)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Times New (W1)"/>
      <family val="1"/>
    </font>
    <font>
      <sz val="9"/>
      <name val="Arial CE"/>
      <charset val="238"/>
    </font>
    <font>
      <sz val="8"/>
      <name val="Arial CE"/>
      <charset val="238"/>
    </font>
    <font>
      <b/>
      <sz val="9"/>
      <name val="Times New (W1)"/>
      <family val="1"/>
    </font>
    <font>
      <sz val="7"/>
      <name val="Times New (W1)"/>
      <family val="1"/>
    </font>
    <font>
      <b/>
      <sz val="12"/>
      <name val="Times New (W1)"/>
      <family val="1"/>
    </font>
    <font>
      <sz val="12"/>
      <name val="Times New (W1)"/>
      <family val="1"/>
    </font>
    <font>
      <b/>
      <sz val="8"/>
      <name val="Times New (W1)"/>
      <family val="1"/>
    </font>
    <font>
      <sz val="7"/>
      <name val="Arial CE"/>
      <charset val="238"/>
    </font>
    <font>
      <sz val="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  <charset val="238"/>
    </font>
    <font>
      <b/>
      <sz val="11"/>
      <name val="Times New Roman"/>
      <family val="1"/>
    </font>
    <font>
      <sz val="6"/>
      <name val="Times New (W1)"/>
      <family val="1"/>
    </font>
    <font>
      <i/>
      <u/>
      <sz val="8"/>
      <name val="Times New (W1)"/>
      <family val="1"/>
    </font>
    <font>
      <b/>
      <sz val="8"/>
      <name val="Times New Roman"/>
      <family val="1"/>
      <charset val="238"/>
    </font>
    <font>
      <b/>
      <sz val="7"/>
      <name val="Times New Roman"/>
      <family val="1"/>
    </font>
    <font>
      <b/>
      <sz val="7"/>
      <name val="Times New (W1)"/>
      <family val="1"/>
    </font>
    <font>
      <b/>
      <sz val="12"/>
      <name val="Times New Roman"/>
      <family val="1"/>
    </font>
    <font>
      <sz val="6"/>
      <name val="Times New Roman"/>
      <family val="1"/>
    </font>
    <font>
      <sz val="10"/>
      <color indexed="10"/>
      <name val="Arial"/>
      <family val="2"/>
      <charset val="238"/>
    </font>
    <font>
      <sz val="11"/>
      <name val="Calibri"/>
      <family val="2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6"/>
      <name val="Times New Roman"/>
      <family val="1"/>
      <charset val="238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theme="1"/>
      <name val="Times New (W1)"/>
      <family val="1"/>
    </font>
    <font>
      <b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sz val="9"/>
      <color theme="1"/>
      <name val="Times New (W1)"/>
      <family val="1"/>
    </font>
    <font>
      <sz val="10"/>
      <color theme="1"/>
      <name val="Times New (W1)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top" wrapText="1"/>
    </xf>
    <xf numFmtId="165" fontId="2" fillId="0" borderId="1" xfId="1" applyNumberFormat="1" applyFont="1" applyBorder="1"/>
    <xf numFmtId="0" fontId="2" fillId="0" borderId="1" xfId="0" applyFont="1" applyBorder="1"/>
    <xf numFmtId="0" fontId="4" fillId="0" borderId="1" xfId="0" applyFont="1" applyBorder="1" applyAlignment="1">
      <alignment wrapText="1"/>
    </xf>
    <xf numFmtId="49" fontId="2" fillId="0" borderId="1" xfId="0" applyNumberFormat="1" applyFont="1" applyBorder="1"/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165" fontId="5" fillId="0" borderId="1" xfId="1" applyNumberFormat="1" applyFont="1" applyBorder="1"/>
    <xf numFmtId="0" fontId="2" fillId="0" borderId="3" xfId="0" quotePrefix="1" applyFont="1" applyBorder="1" applyAlignment="1">
      <alignment horizontal="center"/>
    </xf>
    <xf numFmtId="165" fontId="5" fillId="0" borderId="1" xfId="1" applyNumberFormat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165" fontId="2" fillId="0" borderId="1" xfId="1" applyNumberFormat="1" applyFont="1" applyFill="1" applyBorder="1"/>
    <xf numFmtId="0" fontId="5" fillId="0" borderId="1" xfId="0" applyFont="1" applyBorder="1"/>
    <xf numFmtId="0" fontId="2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/>
    <xf numFmtId="165" fontId="3" fillId="0" borderId="0" xfId="0" applyNumberFormat="1" applyFont="1"/>
    <xf numFmtId="165" fontId="5" fillId="0" borderId="0" xfId="1" applyNumberFormat="1" applyFont="1"/>
    <xf numFmtId="165" fontId="6" fillId="0" borderId="0" xfId="0" applyNumberFormat="1" applyFont="1"/>
    <xf numFmtId="165" fontId="2" fillId="0" borderId="2" xfId="1" applyNumberFormat="1" applyFont="1" applyBorder="1"/>
    <xf numFmtId="165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49" fontId="0" fillId="0" borderId="0" xfId="0" applyNumberFormat="1" applyAlignment="1">
      <alignment horizontal="center"/>
    </xf>
    <xf numFmtId="0" fontId="0" fillId="0" borderId="0" xfId="0" applyFill="1"/>
    <xf numFmtId="43" fontId="2" fillId="0" borderId="1" xfId="1" applyNumberFormat="1" applyFont="1" applyBorder="1" applyAlignment="1">
      <alignment horizontal="center"/>
    </xf>
    <xf numFmtId="43" fontId="0" fillId="0" borderId="0" xfId="0" applyNumberFormat="1"/>
    <xf numFmtId="165" fontId="8" fillId="0" borderId="0" xfId="0" applyNumberFormat="1" applyFont="1"/>
    <xf numFmtId="0" fontId="8" fillId="0" borderId="0" xfId="0" applyFont="1"/>
    <xf numFmtId="0" fontId="9" fillId="0" borderId="0" xfId="0" applyFont="1"/>
    <xf numFmtId="0" fontId="9" fillId="0" borderId="0" xfId="0" applyFont="1" applyFill="1"/>
    <xf numFmtId="0" fontId="11" fillId="0" borderId="0" xfId="0" applyFont="1"/>
    <xf numFmtId="0" fontId="12" fillId="0" borderId="1" xfId="0" applyFont="1" applyBorder="1" applyAlignment="1">
      <alignment horizontal="center"/>
    </xf>
    <xf numFmtId="166" fontId="11" fillId="0" borderId="1" xfId="0" applyNumberFormat="1" applyFont="1" applyBorder="1"/>
    <xf numFmtId="165" fontId="5" fillId="0" borderId="0" xfId="0" applyNumberFormat="1" applyFont="1"/>
    <xf numFmtId="0" fontId="5" fillId="0" borderId="0" xfId="0" applyFont="1"/>
    <xf numFmtId="0" fontId="15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1" xfId="0" quotePrefix="1" applyFont="1" applyBorder="1" applyAlignment="1">
      <alignment horizontal="center"/>
    </xf>
    <xf numFmtId="165" fontId="16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65" fontId="14" fillId="0" borderId="1" xfId="1" applyNumberFormat="1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/>
    <xf numFmtId="49" fontId="16" fillId="0" borderId="1" xfId="0" applyNumberFormat="1" applyFont="1" applyBorder="1"/>
    <xf numFmtId="0" fontId="17" fillId="0" borderId="1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0" fontId="9" fillId="0" borderId="0" xfId="0" applyFont="1" applyAlignment="1"/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18" fillId="0" borderId="0" xfId="0" applyNumberFormat="1" applyFont="1"/>
    <xf numFmtId="0" fontId="18" fillId="0" borderId="0" xfId="0" applyFont="1"/>
    <xf numFmtId="0" fontId="15" fillId="0" borderId="6" xfId="0" applyFont="1" applyBorder="1"/>
    <xf numFmtId="0" fontId="15" fillId="0" borderId="3" xfId="0" applyFont="1" applyBorder="1"/>
    <xf numFmtId="2" fontId="14" fillId="0" borderId="1" xfId="1" applyNumberFormat="1" applyFont="1" applyBorder="1"/>
    <xf numFmtId="2" fontId="16" fillId="0" borderId="1" xfId="1" applyNumberFormat="1" applyFont="1" applyFill="1" applyBorder="1"/>
    <xf numFmtId="2" fontId="16" fillId="0" borderId="1" xfId="1" applyNumberFormat="1" applyFont="1" applyBorder="1"/>
    <xf numFmtId="2" fontId="16" fillId="0" borderId="8" xfId="1" applyNumberFormat="1" applyFont="1" applyBorder="1"/>
    <xf numFmtId="2" fontId="14" fillId="0" borderId="8" xfId="1" applyNumberFormat="1" applyFont="1" applyBorder="1"/>
    <xf numFmtId="0" fontId="17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0" borderId="0" xfId="0" applyFont="1"/>
    <xf numFmtId="0" fontId="20" fillId="0" borderId="1" xfId="0" applyFont="1" applyBorder="1" applyAlignment="1">
      <alignment horizontal="center"/>
    </xf>
    <xf numFmtId="43" fontId="20" fillId="0" borderId="1" xfId="1" applyNumberFormat="1" applyFont="1" applyBorder="1"/>
    <xf numFmtId="164" fontId="20" fillId="0" borderId="1" xfId="1" applyNumberFormat="1" applyFont="1" applyBorder="1" applyAlignment="1">
      <alignment horizontal="center"/>
    </xf>
    <xf numFmtId="0" fontId="17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1" applyNumberFormat="1" applyFont="1" applyBorder="1"/>
    <xf numFmtId="164" fontId="17" fillId="0" borderId="1" xfId="1" applyNumberFormat="1" applyFont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9" fillId="0" borderId="0" xfId="0" applyFont="1"/>
    <xf numFmtId="0" fontId="20" fillId="0" borderId="1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center"/>
    </xf>
    <xf numFmtId="0" fontId="24" fillId="0" borderId="0" xfId="0" applyFont="1"/>
    <xf numFmtId="0" fontId="20" fillId="0" borderId="0" xfId="0" applyFont="1"/>
    <xf numFmtId="0" fontId="17" fillId="0" borderId="3" xfId="0" quotePrefix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3" xfId="0" quotePrefix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quotePrefix="1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center"/>
    </xf>
    <xf numFmtId="0" fontId="28" fillId="0" borderId="1" xfId="0" applyFont="1" applyBorder="1" applyAlignment="1">
      <alignment horizontal="left" vertical="top" wrapText="1"/>
    </xf>
    <xf numFmtId="0" fontId="15" fillId="0" borderId="1" xfId="0" applyFont="1" applyBorder="1"/>
    <xf numFmtId="0" fontId="12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6" fontId="13" fillId="0" borderId="1" xfId="0" applyNumberFormat="1" applyFont="1" applyBorder="1"/>
    <xf numFmtId="0" fontId="31" fillId="0" borderId="0" xfId="0" applyFont="1" applyAlignment="1">
      <alignment horizontal="right"/>
    </xf>
    <xf numFmtId="0" fontId="30" fillId="0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43" fontId="14" fillId="0" borderId="1" xfId="1" applyFont="1" applyBorder="1"/>
    <xf numFmtId="43" fontId="16" fillId="0" borderId="1" xfId="1" applyFont="1" applyFill="1" applyBorder="1"/>
    <xf numFmtId="43" fontId="14" fillId="0" borderId="8" xfId="1" applyFont="1" applyBorder="1"/>
    <xf numFmtId="43" fontId="14" fillId="0" borderId="1" xfId="1" applyFont="1" applyBorder="1" applyAlignment="1">
      <alignment horizontal="center"/>
    </xf>
    <xf numFmtId="43" fontId="16" fillId="0" borderId="1" xfId="1" applyFont="1" applyBorder="1" applyAlignment="1">
      <alignment horizontal="center"/>
    </xf>
    <xf numFmtId="0" fontId="0" fillId="0" borderId="1" xfId="0" applyBorder="1"/>
    <xf numFmtId="166" fontId="11" fillId="0" borderId="1" xfId="0" applyNumberFormat="1" applyFont="1" applyFill="1" applyBorder="1" applyAlignment="1">
      <alignment vertical="center"/>
    </xf>
    <xf numFmtId="0" fontId="21" fillId="0" borderId="1" xfId="0" applyFont="1" applyBorder="1" applyAlignment="1">
      <alignment horizontal="center"/>
    </xf>
    <xf numFmtId="0" fontId="27" fillId="2" borderId="1" xfId="0" quotePrefix="1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15" fillId="0" borderId="1" xfId="0" quotePrefix="1" applyFont="1" applyBorder="1" applyAlignment="1">
      <alignment horizontal="center" vertical="center"/>
    </xf>
    <xf numFmtId="0" fontId="27" fillId="2" borderId="1" xfId="0" quotePrefix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wrapText="1"/>
    </xf>
    <xf numFmtId="0" fontId="27" fillId="2" borderId="2" xfId="0" applyFont="1" applyFill="1" applyBorder="1" applyAlignment="1">
      <alignment horizontal="center" vertical="center"/>
    </xf>
    <xf numFmtId="0" fontId="28" fillId="0" borderId="12" xfId="0" quotePrefix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 vertical="top" wrapText="1"/>
    </xf>
    <xf numFmtId="0" fontId="15" fillId="0" borderId="3" xfId="0" quotePrefix="1" applyFont="1" applyBorder="1" applyAlignment="1">
      <alignment horizontal="center" vertical="center"/>
    </xf>
    <xf numFmtId="0" fontId="15" fillId="0" borderId="12" xfId="0" quotePrefix="1" applyFont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28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top" wrapText="1"/>
    </xf>
    <xf numFmtId="43" fontId="0" fillId="0" borderId="0" xfId="1" applyFont="1"/>
    <xf numFmtId="0" fontId="12" fillId="0" borderId="1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165" fontId="12" fillId="0" borderId="0" xfId="1" applyNumberFormat="1" applyFont="1" applyFill="1" applyBorder="1" applyAlignment="1">
      <alignment horizontal="right"/>
    </xf>
    <xf numFmtId="43" fontId="12" fillId="0" borderId="0" xfId="1" applyFont="1" applyFill="1" applyBorder="1" applyAlignment="1">
      <alignment horizontal="right"/>
    </xf>
    <xf numFmtId="43" fontId="12" fillId="0" borderId="0" xfId="0" applyNumberFormat="1" applyFont="1"/>
    <xf numFmtId="0" fontId="11" fillId="0" borderId="0" xfId="0" applyFont="1" applyAlignment="1">
      <alignment horizontal="right"/>
    </xf>
    <xf numFmtId="166" fontId="12" fillId="0" borderId="1" xfId="0" applyNumberFormat="1" applyFont="1" applyBorder="1"/>
    <xf numFmtId="0" fontId="25" fillId="0" borderId="1" xfId="0" applyFont="1" applyBorder="1" applyAlignment="1">
      <alignment horizontal="center"/>
    </xf>
    <xf numFmtId="0" fontId="12" fillId="3" borderId="1" xfId="0" quotePrefix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top" wrapText="1"/>
    </xf>
    <xf numFmtId="166" fontId="12" fillId="0" borderId="0" xfId="0" applyNumberFormat="1" applyFont="1" applyBorder="1"/>
    <xf numFmtId="43" fontId="15" fillId="0" borderId="1" xfId="1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top" wrapText="1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1" fillId="0" borderId="0" xfId="0" applyFont="1"/>
    <xf numFmtId="0" fontId="28" fillId="0" borderId="1" xfId="0" applyFont="1" applyFill="1" applyBorder="1" applyAlignment="1">
      <alignment horizontal="center" vertical="center"/>
    </xf>
    <xf numFmtId="0" fontId="11" fillId="0" borderId="0" xfId="0" applyFont="1"/>
    <xf numFmtId="0" fontId="27" fillId="0" borderId="1" xfId="0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center" vertical="center"/>
    </xf>
    <xf numFmtId="0" fontId="27" fillId="0" borderId="1" xfId="0" quotePrefix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165" fontId="13" fillId="0" borderId="0" xfId="1" applyNumberFormat="1" applyFont="1" applyBorder="1" applyAlignment="1">
      <alignment vertical="center"/>
    </xf>
    <xf numFmtId="43" fontId="13" fillId="0" borderId="0" xfId="0" applyNumberFormat="1" applyFont="1" applyBorder="1"/>
    <xf numFmtId="166" fontId="13" fillId="0" borderId="0" xfId="0" applyNumberFormat="1" applyFont="1" applyFill="1" applyBorder="1"/>
    <xf numFmtId="0" fontId="1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3" fontId="9" fillId="0" borderId="0" xfId="0" applyNumberFormat="1" applyFont="1" applyFill="1"/>
    <xf numFmtId="43" fontId="0" fillId="0" borderId="0" xfId="0" applyNumberFormat="1" applyFill="1"/>
    <xf numFmtId="43" fontId="21" fillId="0" borderId="0" xfId="0" applyNumberFormat="1" applyFont="1" applyFill="1"/>
    <xf numFmtId="0" fontId="28" fillId="0" borderId="1" xfId="0" applyFont="1" applyFill="1" applyBorder="1"/>
    <xf numFmtId="0" fontId="15" fillId="0" borderId="1" xfId="0" applyNumberFormat="1" applyFont="1" applyFill="1" applyBorder="1" applyAlignment="1">
      <alignment horizontal="center"/>
    </xf>
    <xf numFmtId="168" fontId="27" fillId="2" borderId="1" xfId="1" applyNumberFormat="1" applyFont="1" applyFill="1" applyBorder="1" applyAlignment="1">
      <alignment horizontal="right" vertical="center"/>
    </xf>
    <xf numFmtId="168" fontId="15" fillId="0" borderId="1" xfId="1" applyNumberFormat="1" applyFont="1" applyFill="1" applyBorder="1" applyAlignment="1">
      <alignment horizontal="right" vertical="center"/>
    </xf>
    <xf numFmtId="168" fontId="28" fillId="0" borderId="4" xfId="1" applyNumberFormat="1" applyFont="1" applyFill="1" applyBorder="1" applyAlignment="1">
      <alignment horizontal="right" vertical="center"/>
    </xf>
    <xf numFmtId="168" fontId="15" fillId="0" borderId="4" xfId="1" applyNumberFormat="1" applyFont="1" applyFill="1" applyBorder="1" applyAlignment="1">
      <alignment horizontal="right" vertical="center"/>
    </xf>
    <xf numFmtId="168" fontId="28" fillId="0" borderId="1" xfId="1" applyNumberFormat="1" applyFont="1" applyFill="1" applyBorder="1" applyAlignment="1">
      <alignment horizontal="right" vertical="center"/>
    </xf>
    <xf numFmtId="168" fontId="27" fillId="2" borderId="1" xfId="1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center" vertical="center"/>
    </xf>
    <xf numFmtId="4" fontId="27" fillId="2" borderId="1" xfId="1" applyNumberFormat="1" applyFont="1" applyFill="1" applyBorder="1" applyAlignment="1">
      <alignment horizontal="right" vertical="center"/>
    </xf>
    <xf numFmtId="4" fontId="15" fillId="0" borderId="1" xfId="1" applyNumberFormat="1" applyFont="1" applyFill="1" applyBorder="1" applyAlignment="1">
      <alignment horizontal="right" vertical="center"/>
    </xf>
    <xf numFmtId="4" fontId="28" fillId="0" borderId="4" xfId="1" applyNumberFormat="1" applyFont="1" applyFill="1" applyBorder="1" applyAlignment="1">
      <alignment horizontal="right" vertical="center"/>
    </xf>
    <xf numFmtId="4" fontId="15" fillId="0" borderId="4" xfId="1" applyNumberFormat="1" applyFont="1" applyFill="1" applyBorder="1" applyAlignment="1">
      <alignment horizontal="right" vertical="center"/>
    </xf>
    <xf numFmtId="4" fontId="32" fillId="0" borderId="1" xfId="1" applyNumberFormat="1" applyFont="1" applyFill="1" applyBorder="1" applyAlignment="1">
      <alignment horizontal="right" vertical="center"/>
    </xf>
    <xf numFmtId="4" fontId="28" fillId="0" borderId="1" xfId="1" applyNumberFormat="1" applyFont="1" applyFill="1" applyBorder="1" applyAlignment="1">
      <alignment horizontal="right" vertical="center"/>
    </xf>
    <xf numFmtId="4" fontId="0" fillId="0" borderId="0" xfId="0" applyNumberFormat="1" applyFill="1"/>
    <xf numFmtId="4" fontId="15" fillId="0" borderId="10" xfId="1" applyNumberFormat="1" applyFont="1" applyBorder="1" applyAlignment="1">
      <alignment vertical="center"/>
    </xf>
    <xf numFmtId="0" fontId="36" fillId="0" borderId="2" xfId="0" applyFont="1" applyBorder="1" applyAlignment="1">
      <alignment vertical="top" wrapText="1"/>
    </xf>
    <xf numFmtId="4" fontId="0" fillId="0" borderId="0" xfId="0" applyNumberFormat="1"/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top" wrapText="1"/>
    </xf>
    <xf numFmtId="0" fontId="28" fillId="0" borderId="1" xfId="0" quotePrefix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4" fontId="17" fillId="0" borderId="1" xfId="1" applyNumberFormat="1" applyFont="1" applyBorder="1" applyAlignment="1">
      <alignment horizontal="right"/>
    </xf>
    <xf numFmtId="167" fontId="21" fillId="0" borderId="1" xfId="1" applyNumberFormat="1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49" fontId="12" fillId="0" borderId="1" xfId="0" applyNumberFormat="1" applyFont="1" applyBorder="1"/>
    <xf numFmtId="4" fontId="27" fillId="0" borderId="1" xfId="0" applyNumberFormat="1" applyFont="1" applyBorder="1" applyAlignment="1">
      <alignment horizontal="right"/>
    </xf>
    <xf numFmtId="4" fontId="27" fillId="0" borderId="1" xfId="1" applyNumberFormat="1" applyFont="1" applyBorder="1" applyAlignment="1">
      <alignment horizontal="right"/>
    </xf>
    <xf numFmtId="4" fontId="27" fillId="0" borderId="8" xfId="1" applyNumberFormat="1" applyFont="1" applyBorder="1" applyAlignment="1">
      <alignment horizontal="right"/>
    </xf>
    <xf numFmtId="4" fontId="15" fillId="0" borderId="1" xfId="1" applyNumberFormat="1" applyFont="1" applyBorder="1" applyAlignment="1">
      <alignment horizontal="right"/>
    </xf>
    <xf numFmtId="4" fontId="15" fillId="0" borderId="8" xfId="1" applyNumberFormat="1" applyFont="1" applyBorder="1" applyAlignment="1">
      <alignment horizontal="right"/>
    </xf>
    <xf numFmtId="4" fontId="15" fillId="0" borderId="1" xfId="1" applyNumberFormat="1" applyFont="1" applyFill="1" applyBorder="1" applyAlignment="1">
      <alignment horizontal="right"/>
    </xf>
    <xf numFmtId="167" fontId="27" fillId="0" borderId="1" xfId="1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right" vertical="top" wrapText="1"/>
    </xf>
    <xf numFmtId="0" fontId="16" fillId="0" borderId="0" xfId="0" applyFont="1" applyAlignment="1">
      <alignment horizontal="right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9" fillId="0" borderId="1" xfId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7" fillId="0" borderId="0" xfId="0" applyFont="1"/>
    <xf numFmtId="0" fontId="37" fillId="0" borderId="0" xfId="0" applyFont="1" applyAlignment="1">
      <alignment vertical="center"/>
    </xf>
    <xf numFmtId="43" fontId="9" fillId="0" borderId="1" xfId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9" fillId="0" borderId="0" xfId="0" applyFont="1"/>
    <xf numFmtId="0" fontId="40" fillId="0" borderId="0" xfId="0" applyFont="1" applyAlignment="1">
      <alignment horizontal="center" wrapText="1"/>
    </xf>
    <xf numFmtId="0" fontId="38" fillId="0" borderId="0" xfId="0" applyFont="1" applyAlignment="1">
      <alignment wrapText="1"/>
    </xf>
    <xf numFmtId="0" fontId="28" fillId="0" borderId="0" xfId="0" applyFont="1" applyAlignment="1">
      <alignment horizontal="right"/>
    </xf>
    <xf numFmtId="0" fontId="42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0" borderId="1" xfId="0" applyFont="1" applyBorder="1" applyAlignment="1">
      <alignment wrapText="1"/>
    </xf>
    <xf numFmtId="0" fontId="41" fillId="2" borderId="1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168" fontId="11" fillId="0" borderId="1" xfId="1" applyNumberFormat="1" applyFont="1" applyBorder="1"/>
    <xf numFmtId="4" fontId="43" fillId="0" borderId="1" xfId="0" applyNumberFormat="1" applyFont="1" applyBorder="1"/>
    <xf numFmtId="4" fontId="41" fillId="0" borderId="1" xfId="0" applyNumberFormat="1" applyFont="1" applyBorder="1"/>
    <xf numFmtId="168" fontId="13" fillId="0" borderId="1" xfId="1" applyNumberFormat="1" applyFont="1" applyBorder="1"/>
    <xf numFmtId="0" fontId="13" fillId="2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/>
    </xf>
    <xf numFmtId="169" fontId="26" fillId="0" borderId="1" xfId="1" applyNumberFormat="1" applyFont="1" applyBorder="1" applyAlignment="1">
      <alignment horizontal="center"/>
    </xf>
    <xf numFmtId="166" fontId="13" fillId="0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168" fontId="41" fillId="0" borderId="1" xfId="0" applyNumberFormat="1" applyFont="1" applyBorder="1" applyAlignment="1">
      <alignment vertical="center"/>
    </xf>
    <xf numFmtId="168" fontId="13" fillId="0" borderId="1" xfId="0" applyNumberFormat="1" applyFont="1" applyBorder="1"/>
    <xf numFmtId="0" fontId="9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168" fontId="41" fillId="0" borderId="1" xfId="0" applyNumberFormat="1" applyFont="1" applyBorder="1" applyAlignment="1">
      <alignment horizontal="right" vertical="center"/>
    </xf>
    <xf numFmtId="167" fontId="28" fillId="0" borderId="1" xfId="1" applyNumberFormat="1" applyFont="1" applyBorder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15" fillId="0" borderId="1" xfId="1" applyNumberFormat="1" applyFont="1" applyBorder="1" applyAlignment="1">
      <alignment vertical="center"/>
    </xf>
    <xf numFmtId="4" fontId="12" fillId="0" borderId="1" xfId="0" applyNumberFormat="1" applyFont="1" applyBorder="1"/>
    <xf numFmtId="167" fontId="33" fillId="2" borderId="1" xfId="1" applyNumberFormat="1" applyFont="1" applyFill="1" applyBorder="1" applyAlignment="1">
      <alignment horizontal="right" vertical="center"/>
    </xf>
    <xf numFmtId="167" fontId="26" fillId="0" borderId="1" xfId="1" applyNumberFormat="1" applyFont="1" applyBorder="1" applyAlignment="1">
      <alignment horizontal="right" vertical="center"/>
    </xf>
    <xf numFmtId="167" fontId="26" fillId="2" borderId="1" xfId="1" applyNumberFormat="1" applyFont="1" applyFill="1" applyBorder="1" applyAlignment="1">
      <alignment horizontal="right" vertical="center"/>
    </xf>
    <xf numFmtId="167" fontId="44" fillId="0" borderId="1" xfId="1" applyNumberFormat="1" applyFont="1" applyBorder="1" applyAlignment="1">
      <alignment horizontal="right" vertical="center"/>
    </xf>
    <xf numFmtId="4" fontId="2" fillId="0" borderId="0" xfId="0" applyNumberFormat="1" applyFont="1"/>
    <xf numFmtId="4" fontId="4" fillId="0" borderId="0" xfId="0" applyNumberFormat="1" applyFont="1"/>
    <xf numFmtId="0" fontId="40" fillId="0" borderId="0" xfId="0" applyFont="1" applyAlignment="1">
      <alignment horizontal="center" wrapText="1"/>
    </xf>
    <xf numFmtId="0" fontId="43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28" fillId="0" borderId="12" xfId="0" applyFont="1" applyFill="1" applyBorder="1" applyAlignment="1">
      <alignment horizontal="center" vertical="center"/>
    </xf>
    <xf numFmtId="4" fontId="12" fillId="0" borderId="4" xfId="0" applyNumberFormat="1" applyFont="1" applyBorder="1"/>
    <xf numFmtId="4" fontId="15" fillId="0" borderId="10" xfId="1" applyNumberFormat="1" applyFont="1" applyFill="1" applyBorder="1" applyAlignment="1">
      <alignment horizontal="right" vertical="center"/>
    </xf>
    <xf numFmtId="4" fontId="28" fillId="0" borderId="1" xfId="1" applyNumberFormat="1" applyFont="1" applyFill="1" applyBorder="1" applyAlignment="1">
      <alignment vertical="center"/>
    </xf>
    <xf numFmtId="4" fontId="15" fillId="0" borderId="1" xfId="1" applyNumberFormat="1" applyFont="1" applyFill="1" applyBorder="1" applyAlignment="1">
      <alignment vertical="center"/>
    </xf>
    <xf numFmtId="4" fontId="12" fillId="0" borderId="1" xfId="1" applyNumberFormat="1" applyFont="1" applyFill="1" applyBorder="1" applyAlignment="1">
      <alignment vertical="center"/>
    </xf>
    <xf numFmtId="4" fontId="12" fillId="0" borderId="1" xfId="1" applyNumberFormat="1" applyFont="1" applyFill="1" applyBorder="1" applyAlignment="1">
      <alignment horizontal="right" vertical="center"/>
    </xf>
    <xf numFmtId="4" fontId="12" fillId="3" borderId="1" xfId="1" applyNumberFormat="1" applyFont="1" applyFill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 vertical="center"/>
    </xf>
    <xf numFmtId="4" fontId="11" fillId="0" borderId="1" xfId="1" applyNumberFormat="1" applyFont="1" applyBorder="1" applyAlignment="1">
      <alignment horizontal="right" vertical="center"/>
    </xf>
    <xf numFmtId="4" fontId="11" fillId="0" borderId="1" xfId="1" applyNumberFormat="1" applyFont="1" applyFill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left"/>
    </xf>
    <xf numFmtId="4" fontId="19" fillId="0" borderId="0" xfId="0" applyNumberFormat="1" applyFont="1"/>
    <xf numFmtId="165" fontId="15" fillId="0" borderId="1" xfId="1" applyNumberFormat="1" applyFont="1" applyBorder="1" applyAlignment="1">
      <alignment vertical="top" wrapText="1"/>
    </xf>
    <xf numFmtId="0" fontId="36" fillId="0" borderId="5" xfId="0" applyFont="1" applyBorder="1" applyAlignment="1">
      <alignment vertical="top" wrapText="1"/>
    </xf>
    <xf numFmtId="165" fontId="27" fillId="0" borderId="1" xfId="1" applyNumberFormat="1" applyFont="1" applyBorder="1" applyAlignment="1">
      <alignment vertical="top" wrapText="1"/>
    </xf>
    <xf numFmtId="49" fontId="15" fillId="0" borderId="1" xfId="0" applyNumberFormat="1" applyFont="1" applyBorder="1" applyAlignment="1">
      <alignment vertical="top" wrapText="1"/>
    </xf>
    <xf numFmtId="4" fontId="14" fillId="0" borderId="1" xfId="1" applyNumberFormat="1" applyFont="1" applyBorder="1"/>
    <xf numFmtId="4" fontId="14" fillId="0" borderId="1" xfId="1" applyNumberFormat="1" applyFont="1" applyBorder="1" applyAlignment="1">
      <alignment horizontal="right"/>
    </xf>
    <xf numFmtId="4" fontId="16" fillId="0" borderId="1" xfId="1" applyNumberFormat="1" applyFont="1" applyBorder="1" applyAlignment="1">
      <alignment horizontal="right"/>
    </xf>
    <xf numFmtId="43" fontId="14" fillId="0" borderId="1" xfId="1" applyNumberFormat="1" applyFont="1" applyBorder="1"/>
    <xf numFmtId="43" fontId="16" fillId="0" borderId="1" xfId="1" applyNumberFormat="1" applyFont="1" applyFill="1" applyBorder="1"/>
    <xf numFmtId="43" fontId="14" fillId="0" borderId="8" xfId="1" applyNumberFormat="1" applyFont="1" applyBorder="1"/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4" fontId="43" fillId="0" borderId="1" xfId="0" applyNumberFormat="1" applyFont="1" applyBorder="1" applyAlignment="1">
      <alignment horizontal="right"/>
    </xf>
    <xf numFmtId="0" fontId="43" fillId="0" borderId="1" xfId="0" applyFont="1" applyBorder="1" applyAlignment="1">
      <alignment horizontal="left" wrapText="1"/>
    </xf>
    <xf numFmtId="166" fontId="17" fillId="0" borderId="1" xfId="0" applyNumberFormat="1" applyFont="1" applyBorder="1"/>
    <xf numFmtId="166" fontId="20" fillId="0" borderId="1" xfId="0" applyNumberFormat="1" applyFont="1" applyBorder="1"/>
    <xf numFmtId="0" fontId="41" fillId="0" borderId="0" xfId="0" applyFont="1" applyBorder="1" applyAlignment="1">
      <alignment horizontal="center"/>
    </xf>
    <xf numFmtId="4" fontId="41" fillId="0" borderId="0" xfId="0" applyNumberFormat="1" applyFont="1" applyBorder="1"/>
    <xf numFmtId="166" fontId="20" fillId="0" borderId="0" xfId="0" applyNumberFormat="1" applyFont="1" applyBorder="1"/>
    <xf numFmtId="0" fontId="16" fillId="0" borderId="1" xfId="0" applyFont="1" applyFill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2" xfId="0" applyFont="1" applyFill="1" applyBorder="1" applyAlignment="1">
      <alignment wrapText="1"/>
    </xf>
    <xf numFmtId="167" fontId="9" fillId="0" borderId="2" xfId="1" applyNumberFormat="1" applyFont="1" applyBorder="1" applyAlignment="1">
      <alignment horizontal="right" vertical="center"/>
    </xf>
    <xf numFmtId="167" fontId="41" fillId="0" borderId="1" xfId="1" applyNumberFormat="1" applyFont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168" fontId="32" fillId="2" borderId="1" xfId="1" applyNumberFormat="1" applyFont="1" applyFill="1" applyBorder="1" applyAlignment="1">
      <alignment horizontal="right" vertical="center"/>
    </xf>
    <xf numFmtId="4" fontId="28" fillId="0" borderId="10" xfId="1" applyNumberFormat="1" applyFont="1" applyBorder="1" applyAlignment="1">
      <alignment vertical="center"/>
    </xf>
    <xf numFmtId="0" fontId="20" fillId="2" borderId="1" xfId="0" quotePrefix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left"/>
    </xf>
    <xf numFmtId="4" fontId="20" fillId="2" borderId="1" xfId="1" applyNumberFormat="1" applyFont="1" applyFill="1" applyBorder="1" applyAlignment="1">
      <alignment horizontal="right"/>
    </xf>
    <xf numFmtId="167" fontId="34" fillId="2" borderId="1" xfId="1" applyNumberFormat="1" applyFont="1" applyFill="1" applyBorder="1" applyAlignment="1">
      <alignment horizontal="right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top" wrapText="1"/>
    </xf>
    <xf numFmtId="0" fontId="20" fillId="2" borderId="2" xfId="0" quotePrefix="1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1" xfId="0" applyFont="1" applyFill="1" applyBorder="1"/>
    <xf numFmtId="0" fontId="20" fillId="2" borderId="1" xfId="0" quotePrefix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top" wrapText="1"/>
    </xf>
    <xf numFmtId="0" fontId="27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24" fillId="0" borderId="1" xfId="0" applyNumberFormat="1" applyFont="1" applyBorder="1"/>
    <xf numFmtId="4" fontId="24" fillId="0" borderId="1" xfId="1" applyNumberFormat="1" applyFont="1" applyFill="1" applyBorder="1" applyAlignment="1">
      <alignment horizontal="right" vertical="center"/>
    </xf>
    <xf numFmtId="0" fontId="27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/>
    </xf>
    <xf numFmtId="0" fontId="28" fillId="0" borderId="3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1" xfId="0" quotePrefix="1" applyFont="1" applyFill="1" applyBorder="1" applyAlignment="1">
      <alignment horizontal="center" vertical="center"/>
    </xf>
    <xf numFmtId="4" fontId="15" fillId="2" borderId="10" xfId="1" applyNumberFormat="1" applyFont="1" applyFill="1" applyBorder="1" applyAlignment="1">
      <alignment vertical="center"/>
    </xf>
    <xf numFmtId="4" fontId="15" fillId="2" borderId="1" xfId="1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5" fillId="0" borderId="0" xfId="0" applyFont="1"/>
    <xf numFmtId="43" fontId="45" fillId="0" borderId="0" xfId="1" applyFont="1"/>
    <xf numFmtId="164" fontId="45" fillId="0" borderId="0" xfId="1" applyNumberFormat="1" applyFont="1"/>
    <xf numFmtId="0" fontId="45" fillId="0" borderId="1" xfId="0" applyFont="1" applyBorder="1" applyAlignment="1">
      <alignment horizontal="center"/>
    </xf>
    <xf numFmtId="0" fontId="45" fillId="0" borderId="1" xfId="0" applyFont="1" applyBorder="1"/>
    <xf numFmtId="43" fontId="45" fillId="0" borderId="1" xfId="1" applyFont="1" applyBorder="1"/>
    <xf numFmtId="164" fontId="45" fillId="0" borderId="1" xfId="1" applyNumberFormat="1" applyFont="1" applyBorder="1"/>
    <xf numFmtId="0" fontId="47" fillId="0" borderId="1" xfId="0" applyNumberFormat="1" applyFont="1" applyBorder="1" applyAlignment="1">
      <alignment horizontal="center"/>
    </xf>
    <xf numFmtId="0" fontId="47" fillId="0" borderId="1" xfId="1" applyNumberFormat="1" applyFont="1" applyBorder="1" applyAlignment="1">
      <alignment horizontal="center"/>
    </xf>
    <xf numFmtId="0" fontId="48" fillId="0" borderId="1" xfId="0" quotePrefix="1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48" fillId="0" borderId="1" xfId="0" applyFont="1" applyBorder="1" applyAlignment="1">
      <alignment horizontal="center" vertical="center"/>
    </xf>
    <xf numFmtId="0" fontId="32" fillId="0" borderId="1" xfId="0" applyFont="1" applyFill="1" applyBorder="1" applyAlignment="1">
      <alignment horizontal="left"/>
    </xf>
    <xf numFmtId="168" fontId="48" fillId="0" borderId="1" xfId="1" applyNumberFormat="1" applyFont="1" applyBorder="1"/>
    <xf numFmtId="167" fontId="49" fillId="0" borderId="1" xfId="1" applyNumberFormat="1" applyFont="1" applyBorder="1"/>
    <xf numFmtId="0" fontId="45" fillId="0" borderId="1" xfId="0" quotePrefix="1" applyFont="1" applyBorder="1" applyAlignment="1">
      <alignment horizontal="center"/>
    </xf>
    <xf numFmtId="0" fontId="45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left" wrapText="1"/>
    </xf>
    <xf numFmtId="168" fontId="45" fillId="0" borderId="1" xfId="1" applyNumberFormat="1" applyFont="1" applyBorder="1"/>
    <xf numFmtId="167" fontId="47" fillId="0" borderId="1" xfId="1" applyNumberFormat="1" applyFont="1" applyBorder="1"/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top"/>
    </xf>
    <xf numFmtId="0" fontId="45" fillId="0" borderId="1" xfId="0" applyFont="1" applyFill="1" applyBorder="1" applyAlignment="1">
      <alignment wrapText="1"/>
    </xf>
    <xf numFmtId="0" fontId="32" fillId="0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165" fontId="28" fillId="0" borderId="1" xfId="1" applyNumberFormat="1" applyFont="1" applyBorder="1" applyAlignment="1">
      <alignment vertical="top"/>
    </xf>
    <xf numFmtId="0" fontId="28" fillId="0" borderId="1" xfId="0" applyFont="1" applyBorder="1" applyAlignment="1">
      <alignment wrapText="1"/>
    </xf>
    <xf numFmtId="165" fontId="32" fillId="0" borderId="1" xfId="1" applyNumberFormat="1" applyFont="1" applyBorder="1" applyAlignment="1">
      <alignment vertical="top"/>
    </xf>
    <xf numFmtId="0" fontId="45" fillId="0" borderId="1" xfId="0" applyFont="1" applyBorder="1" applyAlignment="1">
      <alignment wrapText="1"/>
    </xf>
    <xf numFmtId="0" fontId="32" fillId="0" borderId="1" xfId="0" applyFont="1" applyBorder="1" applyAlignment="1">
      <alignment vertical="top" wrapText="1"/>
    </xf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 wrapText="1"/>
    </xf>
    <xf numFmtId="0" fontId="28" fillId="0" borderId="1" xfId="0" applyFont="1" applyBorder="1"/>
    <xf numFmtId="0" fontId="28" fillId="0" borderId="1" xfId="0" applyFont="1" applyFill="1" applyBorder="1" applyAlignment="1">
      <alignment wrapText="1"/>
    </xf>
    <xf numFmtId="0" fontId="32" fillId="0" borderId="1" xfId="0" applyFont="1" applyBorder="1" applyAlignment="1">
      <alignment vertical="top"/>
    </xf>
    <xf numFmtId="0" fontId="28" fillId="0" borderId="1" xfId="0" applyFont="1" applyBorder="1" applyAlignment="1">
      <alignment vertical="top"/>
    </xf>
    <xf numFmtId="0" fontId="45" fillId="0" borderId="4" xfId="0" applyFont="1" applyBorder="1" applyAlignment="1">
      <alignment horizontal="center"/>
    </xf>
    <xf numFmtId="49" fontId="28" fillId="0" borderId="1" xfId="0" applyNumberFormat="1" applyFont="1" applyBorder="1" applyAlignment="1">
      <alignment vertical="top" wrapText="1"/>
    </xf>
    <xf numFmtId="0" fontId="28" fillId="0" borderId="1" xfId="0" applyFont="1" applyBorder="1" applyAlignment="1">
      <alignment horizontal="left" wrapText="1"/>
    </xf>
    <xf numFmtId="0" fontId="45" fillId="0" borderId="1" xfId="0" applyFont="1" applyBorder="1" applyAlignment="1">
      <alignment vertical="top" wrapText="1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168" fontId="0" fillId="0" borderId="0" xfId="0" applyNumberFormat="1"/>
    <xf numFmtId="0" fontId="15" fillId="0" borderId="1" xfId="0" applyFont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43" fontId="9" fillId="0" borderId="4" xfId="1" applyFont="1" applyBorder="1" applyAlignment="1">
      <alignment horizontal="center" vertical="center"/>
    </xf>
    <xf numFmtId="43" fontId="9" fillId="0" borderId="4" xfId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3" fontId="41" fillId="0" borderId="1" xfId="0" applyNumberFormat="1" applyFont="1" applyBorder="1" applyAlignment="1">
      <alignment horizontal="center" vertical="center"/>
    </xf>
    <xf numFmtId="43" fontId="41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vertical="top" wrapText="1"/>
    </xf>
    <xf numFmtId="0" fontId="38" fillId="0" borderId="1" xfId="0" applyFont="1" applyBorder="1"/>
    <xf numFmtId="0" fontId="17" fillId="0" borderId="1" xfId="0" applyFont="1" applyBorder="1" applyAlignment="1">
      <alignment vertical="top" wrapText="1"/>
    </xf>
    <xf numFmtId="43" fontId="13" fillId="0" borderId="1" xfId="1" applyFont="1" applyBorder="1" applyAlignment="1">
      <alignment horizontal="right"/>
    </xf>
    <xf numFmtId="43" fontId="11" fillId="0" borderId="1" xfId="1" applyFont="1" applyBorder="1" applyAlignment="1">
      <alignment horizontal="right"/>
    </xf>
    <xf numFmtId="43" fontId="13" fillId="0" borderId="1" xfId="1" applyFont="1" applyBorder="1"/>
    <xf numFmtId="43" fontId="11" fillId="0" borderId="1" xfId="1" applyFont="1" applyBorder="1"/>
    <xf numFmtId="43" fontId="13" fillId="0" borderId="16" xfId="0" applyNumberFormat="1" applyFont="1" applyBorder="1"/>
    <xf numFmtId="0" fontId="12" fillId="0" borderId="1" xfId="0" applyFont="1" applyBorder="1" applyAlignment="1">
      <alignment horizontal="center"/>
    </xf>
    <xf numFmtId="168" fontId="0" fillId="0" borderId="0" xfId="0" applyNumberFormat="1" applyFill="1"/>
    <xf numFmtId="0" fontId="12" fillId="0" borderId="0" xfId="0" applyFont="1" applyAlignment="1">
      <alignment wrapText="1"/>
    </xf>
    <xf numFmtId="0" fontId="24" fillId="0" borderId="1" xfId="0" applyFont="1" applyBorder="1"/>
    <xf numFmtId="166" fontId="24" fillId="0" borderId="1" xfId="0" applyNumberFormat="1" applyFont="1" applyBorder="1"/>
    <xf numFmtId="43" fontId="12" fillId="0" borderId="1" xfId="1" applyFont="1" applyBorder="1"/>
    <xf numFmtId="4" fontId="12" fillId="0" borderId="1" xfId="1" applyNumberFormat="1" applyFont="1" applyFill="1" applyBorder="1" applyAlignment="1">
      <alignment horizontal="right"/>
    </xf>
    <xf numFmtId="0" fontId="12" fillId="0" borderId="3" xfId="0" quotePrefix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right"/>
    </xf>
    <xf numFmtId="0" fontId="11" fillId="0" borderId="8" xfId="0" applyFont="1" applyBorder="1" applyAlignment="1">
      <alignment horizontal="center" vertical="center"/>
    </xf>
    <xf numFmtId="4" fontId="28" fillId="0" borderId="1" xfId="1" applyNumberFormat="1" applyFont="1" applyBorder="1" applyAlignment="1">
      <alignment horizontal="right"/>
    </xf>
    <xf numFmtId="2" fontId="1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horizontal="left" vertical="center"/>
    </xf>
    <xf numFmtId="0" fontId="51" fillId="0" borderId="0" xfId="0" applyFont="1" applyAlignment="1">
      <alignment horizontal="right"/>
    </xf>
    <xf numFmtId="0" fontId="43" fillId="0" borderId="1" xfId="0" applyFont="1" applyBorder="1" applyAlignment="1">
      <alignment vertical="center" wrapText="1"/>
    </xf>
    <xf numFmtId="0" fontId="15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7" fillId="2" borderId="1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28" fillId="0" borderId="1" xfId="0" applyFont="1" applyFill="1" applyBorder="1" applyAlignment="1">
      <alignment horizontal="left" vertical="top"/>
    </xf>
    <xf numFmtId="49" fontId="15" fillId="0" borderId="1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center" vertical="center"/>
    </xf>
    <xf numFmtId="4" fontId="50" fillId="0" borderId="1" xfId="1" applyNumberFormat="1" applyFont="1" applyFill="1" applyBorder="1" applyAlignment="1">
      <alignment horizontal="right"/>
    </xf>
    <xf numFmtId="4" fontId="16" fillId="0" borderId="1" xfId="1" applyNumberFormat="1" applyFont="1" applyFill="1" applyBorder="1" applyAlignment="1">
      <alignment horizontal="right"/>
    </xf>
    <xf numFmtId="168" fontId="9" fillId="0" borderId="2" xfId="1" applyNumberFormat="1" applyFont="1" applyBorder="1" applyAlignment="1">
      <alignment horizontal="right" vertical="center"/>
    </xf>
    <xf numFmtId="168" fontId="9" fillId="0" borderId="1" xfId="1" applyNumberFormat="1" applyFont="1" applyBorder="1" applyAlignment="1">
      <alignment horizontal="right" vertical="center"/>
    </xf>
    <xf numFmtId="168" fontId="9" fillId="0" borderId="1" xfId="1" applyNumberFormat="1" applyFont="1" applyBorder="1" applyAlignment="1">
      <alignment vertical="center"/>
    </xf>
    <xf numFmtId="168" fontId="11" fillId="0" borderId="1" xfId="0" applyNumberFormat="1" applyFont="1" applyBorder="1" applyAlignment="1">
      <alignment vertical="center"/>
    </xf>
    <xf numFmtId="166" fontId="11" fillId="0" borderId="1" xfId="0" applyNumberFormat="1" applyFont="1" applyBorder="1" applyAlignment="1">
      <alignment vertical="center"/>
    </xf>
    <xf numFmtId="4" fontId="43" fillId="0" borderId="1" xfId="0" applyNumberFormat="1" applyFont="1" applyBorder="1" applyAlignment="1">
      <alignment vertical="center"/>
    </xf>
    <xf numFmtId="168" fontId="11" fillId="0" borderId="1" xfId="1" applyNumberFormat="1" applyFont="1" applyBorder="1" applyAlignment="1">
      <alignment vertical="center"/>
    </xf>
    <xf numFmtId="0" fontId="11" fillId="0" borderId="0" xfId="0" applyFont="1" applyFill="1" applyAlignment="1">
      <alignment horizontal="right"/>
    </xf>
    <xf numFmtId="0" fontId="11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right" vertical="center"/>
    </xf>
    <xf numFmtId="169" fontId="53" fillId="0" borderId="1" xfId="1" applyNumberFormat="1" applyFont="1" applyBorder="1" applyAlignment="1">
      <alignment horizontal="center"/>
    </xf>
    <xf numFmtId="0" fontId="54" fillId="0" borderId="1" xfId="0" applyFont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55" fillId="0" borderId="1" xfId="0" applyFont="1" applyBorder="1" applyAlignment="1">
      <alignment vertical="center" wrapText="1"/>
    </xf>
    <xf numFmtId="4" fontId="11" fillId="0" borderId="1" xfId="1" applyNumberFormat="1" applyFont="1" applyFill="1" applyBorder="1" applyAlignment="1">
      <alignment vertical="center"/>
    </xf>
    <xf numFmtId="4" fontId="55" fillId="0" borderId="1" xfId="1" applyNumberFormat="1" applyFont="1" applyBorder="1" applyAlignment="1">
      <alignment horizontal="right" vertical="center"/>
    </xf>
    <xf numFmtId="169" fontId="5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3" fillId="0" borderId="1" xfId="0" applyNumberFormat="1" applyFont="1" applyBorder="1" applyAlignment="1">
      <alignment vertical="center"/>
    </xf>
    <xf numFmtId="0" fontId="51" fillId="0" borderId="1" xfId="0" applyFont="1" applyBorder="1" applyAlignment="1">
      <alignment vertical="center"/>
    </xf>
    <xf numFmtId="0" fontId="51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7" fillId="0" borderId="2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3" fontId="15" fillId="0" borderId="2" xfId="0" applyNumberFormat="1" applyFont="1" applyFill="1" applyBorder="1" applyAlignment="1">
      <alignment horizontal="center" vertical="center" wrapText="1"/>
    </xf>
    <xf numFmtId="43" fontId="15" fillId="0" borderId="5" xfId="0" applyNumberFormat="1" applyFont="1" applyFill="1" applyBorder="1" applyAlignment="1">
      <alignment horizontal="center" vertical="center" wrapText="1"/>
    </xf>
    <xf numFmtId="43" fontId="15" fillId="0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center" vertical="center"/>
    </xf>
    <xf numFmtId="0" fontId="27" fillId="2" borderId="8" xfId="0" applyFont="1" applyFill="1" applyBorder="1" applyAlignment="1">
      <alignment horizontal="left"/>
    </xf>
    <xf numFmtId="0" fontId="27" fillId="2" borderId="6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15" fillId="0" borderId="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20" fillId="2" borderId="8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6" fillId="0" borderId="3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1" fillId="0" borderId="1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35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43" fontId="11" fillId="0" borderId="0" xfId="0" applyNumberFormat="1" applyFont="1" applyFill="1" applyBorder="1" applyAlignment="1">
      <alignment horizontal="right"/>
    </xf>
    <xf numFmtId="0" fontId="22" fillId="0" borderId="0" xfId="0" applyFont="1" applyAlignment="1">
      <alignment horizontal="center"/>
    </xf>
    <xf numFmtId="43" fontId="11" fillId="0" borderId="0" xfId="0" applyNumberFormat="1" applyFont="1" applyBorder="1" applyAlignment="1">
      <alignment horizontal="right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2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45" fillId="0" borderId="2" xfId="0" applyFont="1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45" fillId="0" borderId="4" xfId="0" applyFont="1" applyBorder="1" applyAlignment="1">
      <alignment horizontal="center"/>
    </xf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/>
    </xf>
    <xf numFmtId="0" fontId="45" fillId="0" borderId="1" xfId="0" quotePrefix="1" applyFont="1" applyBorder="1" applyAlignment="1">
      <alignment horizontal="center"/>
    </xf>
    <xf numFmtId="0" fontId="45" fillId="0" borderId="2" xfId="0" quotePrefix="1" applyFont="1" applyBorder="1" applyAlignment="1">
      <alignment horizontal="center"/>
    </xf>
    <xf numFmtId="0" fontId="45" fillId="0" borderId="5" xfId="0" quotePrefix="1" applyFont="1" applyBorder="1" applyAlignment="1">
      <alignment horizontal="center"/>
    </xf>
    <xf numFmtId="0" fontId="45" fillId="0" borderId="4" xfId="0" quotePrefix="1" applyFont="1" applyBorder="1" applyAlignment="1">
      <alignment horizontal="center"/>
    </xf>
    <xf numFmtId="0" fontId="20" fillId="0" borderId="17" xfId="0" applyFont="1" applyBorder="1"/>
    <xf numFmtId="0" fontId="20" fillId="0" borderId="18" xfId="0" applyFont="1" applyBorder="1"/>
    <xf numFmtId="0" fontId="20" fillId="0" borderId="16" xfId="0" applyFont="1" applyBorder="1"/>
    <xf numFmtId="0" fontId="11" fillId="0" borderId="1" xfId="0" applyFont="1" applyBorder="1" applyAlignment="1">
      <alignment horizontal="center" wrapText="1"/>
    </xf>
    <xf numFmtId="0" fontId="38" fillId="0" borderId="1" xfId="0" applyFont="1" applyBorder="1"/>
    <xf numFmtId="0" fontId="11" fillId="0" borderId="1" xfId="0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561F1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400"/>
              <a:t>Wykonanie dochodów Powiatu Białogardzkiego w I półroczu 2012 roku</a:t>
            </a:r>
          </a:p>
        </c:rich>
      </c:tx>
      <c:layout>
        <c:manualLayout>
          <c:xMode val="edge"/>
          <c:yMode val="edge"/>
          <c:x val="0.16517428605006471"/>
          <c:y val="2.5171624713958809E-2"/>
        </c:manualLayout>
      </c:layout>
      <c:spPr>
        <a:noFill/>
        <a:ln w="25400">
          <a:noFill/>
        </a:ln>
      </c:spPr>
    </c:title>
    <c:view3D>
      <c:hPercent val="149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  <a:tileRect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253745374989603"/>
          <c:y val="7.0752830701325833E-2"/>
          <c:w val="0.65933218651568215"/>
          <c:h val="0.85830945397584923"/>
        </c:manualLayout>
      </c:layout>
      <c:bar3DChart>
        <c:barDir val="col"/>
        <c:grouping val="clustered"/>
        <c:ser>
          <c:idx val="0"/>
          <c:order val="0"/>
          <c:tx>
            <c:v>Plan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'wykres dochodów'!$A$3:$A$18</c:f>
              <c:strCache>
                <c:ptCount val="16"/>
                <c:pt idx="0">
                  <c:v>010</c:v>
                </c:pt>
                <c:pt idx="1">
                  <c:v>020</c:v>
                </c:pt>
                <c:pt idx="2">
                  <c:v>600</c:v>
                </c:pt>
                <c:pt idx="3">
                  <c:v>700</c:v>
                </c:pt>
                <c:pt idx="4">
                  <c:v>710</c:v>
                </c:pt>
                <c:pt idx="5">
                  <c:v>750</c:v>
                </c:pt>
                <c:pt idx="6">
                  <c:v>754</c:v>
                </c:pt>
                <c:pt idx="7">
                  <c:v>756</c:v>
                </c:pt>
                <c:pt idx="8">
                  <c:v>758</c:v>
                </c:pt>
                <c:pt idx="9">
                  <c:v>801</c:v>
                </c:pt>
                <c:pt idx="10">
                  <c:v>851</c:v>
                </c:pt>
                <c:pt idx="11">
                  <c:v>852</c:v>
                </c:pt>
                <c:pt idx="12">
                  <c:v>853</c:v>
                </c:pt>
                <c:pt idx="13">
                  <c:v>854</c:v>
                </c:pt>
                <c:pt idx="14">
                  <c:v>900</c:v>
                </c:pt>
                <c:pt idx="15">
                  <c:v>926</c:v>
                </c:pt>
              </c:strCache>
            </c:strRef>
          </c:cat>
          <c:val>
            <c:numRef>
              <c:f>'wykres dochodów'!$B$3:$B$18</c:f>
              <c:numCache>
                <c:formatCode>_-* #,##0\ _z_ł_-;\-* #,##0\ _z_ł_-;_-* "-"??\ _z_ł_-;_-@_-</c:formatCode>
                <c:ptCount val="16"/>
                <c:pt idx="0">
                  <c:v>21000</c:v>
                </c:pt>
                <c:pt idx="1">
                  <c:v>270000</c:v>
                </c:pt>
                <c:pt idx="2">
                  <c:v>16500</c:v>
                </c:pt>
                <c:pt idx="3">
                  <c:v>1645509.01</c:v>
                </c:pt>
                <c:pt idx="4">
                  <c:v>762700</c:v>
                </c:pt>
                <c:pt idx="5">
                  <c:v>411476</c:v>
                </c:pt>
                <c:pt idx="6">
                  <c:v>2982732.22</c:v>
                </c:pt>
                <c:pt idx="7">
                  <c:v>6477887</c:v>
                </c:pt>
                <c:pt idx="8">
                  <c:v>27378432</c:v>
                </c:pt>
                <c:pt idx="9">
                  <c:v>519174.31</c:v>
                </c:pt>
                <c:pt idx="10">
                  <c:v>2637931.41</c:v>
                </c:pt>
                <c:pt idx="11">
                  <c:v>5967731.3600000003</c:v>
                </c:pt>
                <c:pt idx="12">
                  <c:v>1809200.72</c:v>
                </c:pt>
                <c:pt idx="13">
                  <c:v>380939.92</c:v>
                </c:pt>
                <c:pt idx="14">
                  <c:v>289502.40999999997</c:v>
                </c:pt>
              </c:numCache>
            </c:numRef>
          </c:val>
        </c:ser>
        <c:ser>
          <c:idx val="1"/>
          <c:order val="1"/>
          <c:tx>
            <c:v>Wykonanie</c:v>
          </c:tx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'wykres dochodów'!$A$3:$A$18</c:f>
              <c:strCache>
                <c:ptCount val="16"/>
                <c:pt idx="0">
                  <c:v>010</c:v>
                </c:pt>
                <c:pt idx="1">
                  <c:v>020</c:v>
                </c:pt>
                <c:pt idx="2">
                  <c:v>600</c:v>
                </c:pt>
                <c:pt idx="3">
                  <c:v>700</c:v>
                </c:pt>
                <c:pt idx="4">
                  <c:v>710</c:v>
                </c:pt>
                <c:pt idx="5">
                  <c:v>750</c:v>
                </c:pt>
                <c:pt idx="6">
                  <c:v>754</c:v>
                </c:pt>
                <c:pt idx="7">
                  <c:v>756</c:v>
                </c:pt>
                <c:pt idx="8">
                  <c:v>758</c:v>
                </c:pt>
                <c:pt idx="9">
                  <c:v>801</c:v>
                </c:pt>
                <c:pt idx="10">
                  <c:v>851</c:v>
                </c:pt>
                <c:pt idx="11">
                  <c:v>852</c:v>
                </c:pt>
                <c:pt idx="12">
                  <c:v>853</c:v>
                </c:pt>
                <c:pt idx="13">
                  <c:v>854</c:v>
                </c:pt>
                <c:pt idx="14">
                  <c:v>900</c:v>
                </c:pt>
                <c:pt idx="15">
                  <c:v>926</c:v>
                </c:pt>
              </c:strCache>
            </c:strRef>
          </c:cat>
          <c:val>
            <c:numRef>
              <c:f>'wykres dochodów'!$C$3:$C$18</c:f>
              <c:numCache>
                <c:formatCode>_-* #,##0.00\ _z_ł_-;\-* #,##0.00\ _z_ł_-;_-* "-"??\ _z_ł_-;_-@_-</c:formatCode>
                <c:ptCount val="16"/>
                <c:pt idx="0">
                  <c:v>1599</c:v>
                </c:pt>
                <c:pt idx="1">
                  <c:v>132553.39000000001</c:v>
                </c:pt>
                <c:pt idx="2">
                  <c:v>21465.74</c:v>
                </c:pt>
                <c:pt idx="3">
                  <c:v>230733.96</c:v>
                </c:pt>
                <c:pt idx="4">
                  <c:v>328204.88</c:v>
                </c:pt>
                <c:pt idx="5">
                  <c:v>116406.15</c:v>
                </c:pt>
                <c:pt idx="6">
                  <c:v>1858975.73</c:v>
                </c:pt>
                <c:pt idx="7">
                  <c:v>3169768.21</c:v>
                </c:pt>
                <c:pt idx="8">
                  <c:v>15869489.859999999</c:v>
                </c:pt>
                <c:pt idx="9">
                  <c:v>246072.57</c:v>
                </c:pt>
                <c:pt idx="10">
                  <c:v>1843176.41</c:v>
                </c:pt>
                <c:pt idx="11">
                  <c:v>2995144.12</c:v>
                </c:pt>
                <c:pt idx="12">
                  <c:v>1227933.1200000001</c:v>
                </c:pt>
                <c:pt idx="13">
                  <c:v>333129.34999999998</c:v>
                </c:pt>
                <c:pt idx="14">
                  <c:v>30988.98</c:v>
                </c:pt>
                <c:pt idx="15">
                  <c:v>0</c:v>
                </c:pt>
              </c:numCache>
            </c:numRef>
          </c:val>
        </c:ser>
        <c:shape val="box"/>
        <c:axId val="59209984"/>
        <c:axId val="59219968"/>
        <c:axId val="0"/>
      </c:bar3DChart>
      <c:catAx>
        <c:axId val="5920998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9219968"/>
        <c:crosses val="autoZero"/>
        <c:auto val="1"/>
        <c:lblAlgn val="ctr"/>
        <c:lblOffset val="100"/>
        <c:tickLblSkip val="1"/>
        <c:tickMarkSkip val="1"/>
      </c:catAx>
      <c:valAx>
        <c:axId val="592199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\ _z_ł_-;\-* #,##0\ _z_ł_-;_-* &quot;-&quot;??\ _z_ł_-;_-@_-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9209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41752305920644"/>
          <c:y val="0.9064248800653818"/>
          <c:w val="0.19824704541414889"/>
          <c:h val="4.462245055870250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Footer>&amp;RWykres dochodów Powiatu Białogardzkiego w I półroczu 2012r.</c:oddFooter>
    </c:headerFooter>
    <c:pageMargins b="0.98425196850393659" l="0.74803149606300334" r="0.15748031496063217" t="0.98425196850393659" header="0.51181102362204722" footer="0.51181102362204722"/>
    <c:pageSetup paperSize="9" orientation="portrait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/>
              <a:t>Wykonanie wydatków Powiatu Białogardzkiego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/>
              <a:t>w I półroczu 2012 r.</a:t>
            </a:r>
          </a:p>
        </c:rich>
      </c:tx>
      <c:layout>
        <c:manualLayout>
          <c:xMode val="edge"/>
          <c:yMode val="edge"/>
          <c:x val="0.25542275164322431"/>
          <c:y val="2.5531934355253052E-2"/>
        </c:manualLayout>
      </c:layout>
      <c:spPr>
        <a:noFill/>
        <a:ln w="25400">
          <a:noFill/>
        </a:ln>
      </c:spPr>
    </c:title>
    <c:view3D>
      <c:hPercent val="141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185204261001535"/>
          <c:y val="7.6595784468388703E-2"/>
          <c:w val="0.72148252529300538"/>
          <c:h val="0.83936213813274818"/>
        </c:manualLayout>
      </c:layout>
      <c:bar3DChart>
        <c:barDir val="col"/>
        <c:grouping val="clustered"/>
        <c:ser>
          <c:idx val="0"/>
          <c:order val="0"/>
          <c:tx>
            <c:v>Plan</c:v>
          </c:tx>
          <c:spPr>
            <a:solidFill>
              <a:schemeClr val="accent4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'wykres wydatków'!$A$2:$A$78</c:f>
              <c:strCache>
                <c:ptCount val="17"/>
                <c:pt idx="0">
                  <c:v>010</c:v>
                </c:pt>
                <c:pt idx="1">
                  <c:v>020</c:v>
                </c:pt>
                <c:pt idx="2">
                  <c:v>600</c:v>
                </c:pt>
                <c:pt idx="3">
                  <c:v>700</c:v>
                </c:pt>
                <c:pt idx="4">
                  <c:v>710</c:v>
                </c:pt>
                <c:pt idx="5">
                  <c:v>750</c:v>
                </c:pt>
                <c:pt idx="6">
                  <c:v>754</c:v>
                </c:pt>
                <c:pt idx="7">
                  <c:v>757</c:v>
                </c:pt>
                <c:pt idx="8">
                  <c:v>758</c:v>
                </c:pt>
                <c:pt idx="9">
                  <c:v>801</c:v>
                </c:pt>
                <c:pt idx="10">
                  <c:v>851</c:v>
                </c:pt>
                <c:pt idx="11">
                  <c:v>852</c:v>
                </c:pt>
                <c:pt idx="12">
                  <c:v>853</c:v>
                </c:pt>
                <c:pt idx="13">
                  <c:v>854</c:v>
                </c:pt>
                <c:pt idx="14">
                  <c:v>900</c:v>
                </c:pt>
                <c:pt idx="15">
                  <c:v>921</c:v>
                </c:pt>
                <c:pt idx="16">
                  <c:v>926</c:v>
                </c:pt>
              </c:strCache>
            </c:strRef>
          </c:cat>
          <c:val>
            <c:numRef>
              <c:f>'wykres wydatków'!$D$2:$D$78</c:f>
              <c:numCache>
                <c:formatCode>_-* #,##0\ _z_ł_-;\-* #,##0\ _z_ł_-;_-* "-"??\ _z_ł_-;_-@_-</c:formatCode>
                <c:ptCount val="17"/>
                <c:pt idx="0">
                  <c:v>25000</c:v>
                </c:pt>
                <c:pt idx="1">
                  <c:v>320000</c:v>
                </c:pt>
                <c:pt idx="2">
                  <c:v>2392731.08</c:v>
                </c:pt>
                <c:pt idx="3">
                  <c:v>204000</c:v>
                </c:pt>
                <c:pt idx="4">
                  <c:v>425121.68</c:v>
                </c:pt>
                <c:pt idx="5">
                  <c:v>6649970</c:v>
                </c:pt>
                <c:pt idx="6">
                  <c:v>3123298.33</c:v>
                </c:pt>
                <c:pt idx="7">
                  <c:v>1480000</c:v>
                </c:pt>
                <c:pt idx="8">
                  <c:v>5832.32</c:v>
                </c:pt>
                <c:pt idx="9">
                  <c:v>14479937.41</c:v>
                </c:pt>
                <c:pt idx="10">
                  <c:v>3614172.27</c:v>
                </c:pt>
                <c:pt idx="11">
                  <c:v>10646600.890000001</c:v>
                </c:pt>
                <c:pt idx="12">
                  <c:v>3361092.24</c:v>
                </c:pt>
                <c:pt idx="13">
                  <c:v>4528319.0199999996</c:v>
                </c:pt>
                <c:pt idx="14">
                  <c:v>2914609.89</c:v>
                </c:pt>
                <c:pt idx="15">
                  <c:v>72500</c:v>
                </c:pt>
                <c:pt idx="16">
                  <c:v>1087781.82</c:v>
                </c:pt>
              </c:numCache>
            </c:numRef>
          </c:val>
        </c:ser>
        <c:ser>
          <c:idx val="1"/>
          <c:order val="1"/>
          <c:tx>
            <c:v>Wykonanie</c:v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'wykres wydatków'!$A$2:$A$78</c:f>
              <c:strCache>
                <c:ptCount val="17"/>
                <c:pt idx="0">
                  <c:v>010</c:v>
                </c:pt>
                <c:pt idx="1">
                  <c:v>020</c:v>
                </c:pt>
                <c:pt idx="2">
                  <c:v>600</c:v>
                </c:pt>
                <c:pt idx="3">
                  <c:v>700</c:v>
                </c:pt>
                <c:pt idx="4">
                  <c:v>710</c:v>
                </c:pt>
                <c:pt idx="5">
                  <c:v>750</c:v>
                </c:pt>
                <c:pt idx="6">
                  <c:v>754</c:v>
                </c:pt>
                <c:pt idx="7">
                  <c:v>757</c:v>
                </c:pt>
                <c:pt idx="8">
                  <c:v>758</c:v>
                </c:pt>
                <c:pt idx="9">
                  <c:v>801</c:v>
                </c:pt>
                <c:pt idx="10">
                  <c:v>851</c:v>
                </c:pt>
                <c:pt idx="11">
                  <c:v>852</c:v>
                </c:pt>
                <c:pt idx="12">
                  <c:v>853</c:v>
                </c:pt>
                <c:pt idx="13">
                  <c:v>854</c:v>
                </c:pt>
                <c:pt idx="14">
                  <c:v>900</c:v>
                </c:pt>
                <c:pt idx="15">
                  <c:v>921</c:v>
                </c:pt>
                <c:pt idx="16">
                  <c:v>926</c:v>
                </c:pt>
              </c:strCache>
            </c:strRef>
          </c:cat>
          <c:val>
            <c:numRef>
              <c:f>'wykres wydatków'!$E$2:$E$78</c:f>
              <c:numCache>
                <c:formatCode>_-* #,##0\ _z_ł_-;\-* #,##0\ _z_ł_-;_-* "-"??\ _z_ł_-;_-@_-</c:formatCode>
                <c:ptCount val="17"/>
                <c:pt idx="0">
                  <c:v>1599</c:v>
                </c:pt>
                <c:pt idx="1">
                  <c:v>144376.07</c:v>
                </c:pt>
                <c:pt idx="2">
                  <c:v>1115202.43</c:v>
                </c:pt>
                <c:pt idx="3">
                  <c:v>94025.15</c:v>
                </c:pt>
                <c:pt idx="4">
                  <c:v>164757.63</c:v>
                </c:pt>
                <c:pt idx="5">
                  <c:v>3154629.56</c:v>
                </c:pt>
                <c:pt idx="6">
                  <c:v>1516265.65</c:v>
                </c:pt>
                <c:pt idx="7">
                  <c:v>707797.79</c:v>
                </c:pt>
                <c:pt idx="8">
                  <c:v>0</c:v>
                </c:pt>
                <c:pt idx="9">
                  <c:v>7601326.6900000004</c:v>
                </c:pt>
                <c:pt idx="10">
                  <c:v>1287810.1200000001</c:v>
                </c:pt>
                <c:pt idx="11">
                  <c:v>4486602.18</c:v>
                </c:pt>
                <c:pt idx="12">
                  <c:v>1970526.69</c:v>
                </c:pt>
                <c:pt idx="13">
                  <c:v>2491605.9300000002</c:v>
                </c:pt>
                <c:pt idx="14">
                  <c:v>1406.7</c:v>
                </c:pt>
                <c:pt idx="15">
                  <c:v>31400</c:v>
                </c:pt>
                <c:pt idx="16">
                  <c:v>46904.25</c:v>
                </c:pt>
              </c:numCache>
            </c:numRef>
          </c:val>
        </c:ser>
        <c:shape val="box"/>
        <c:axId val="59659776"/>
        <c:axId val="59661312"/>
        <c:axId val="0"/>
      </c:bar3DChart>
      <c:catAx>
        <c:axId val="5965977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9661312"/>
        <c:crosses val="autoZero"/>
        <c:auto val="1"/>
        <c:lblAlgn val="ctr"/>
        <c:lblOffset val="100"/>
        <c:tickLblSkip val="1"/>
        <c:tickMarkSkip val="1"/>
      </c:catAx>
      <c:valAx>
        <c:axId val="59661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\ _z_ł_-;\-* #,##0\ _z_ł_-;_-* &quot;-&quot;??\ _z_ł_-;_-@_-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9659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3780230926705898E-2"/>
          <c:y val="0.94365742202051806"/>
          <c:w val="0.36136927171832856"/>
          <c:h val="4.437851010768833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Footer>&amp;R&amp;7Wykres wydatków Powiatu Białogardzkiego w I półroczu 2010r.</c:oddFooter>
    </c:headerFooter>
    <c:pageMargins b="1" l="0.18000000000000024" r="0.22" t="1" header="0.5" footer="0.5"/>
    <c:pageSetup paperSize="9" orientation="portrait" horizont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3905249</xdr:colOff>
      <xdr:row>82</xdr:row>
      <xdr:rowOff>158749</xdr:rowOff>
    </xdr:to>
    <xdr:graphicFrame macro="">
      <xdr:nvGraphicFramePr>
        <xdr:cNvPr id="512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9</xdr:col>
      <xdr:colOff>942975</xdr:colOff>
      <xdr:row>93</xdr:row>
      <xdr:rowOff>19050</xdr:rowOff>
    </xdr:to>
    <xdr:graphicFrame macro="">
      <xdr:nvGraphicFramePr>
        <xdr:cNvPr id="2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view="pageLayout" workbookViewId="0">
      <selection activeCell="H57" sqref="H57"/>
    </sheetView>
  </sheetViews>
  <sheetFormatPr defaultRowHeight="12.75"/>
  <cols>
    <col min="1" max="1" width="3.85546875" customWidth="1"/>
    <col min="2" max="2" width="5.28515625" customWidth="1"/>
    <col min="3" max="3" width="4.28515625" customWidth="1"/>
    <col min="4" max="4" width="44.85546875" customWidth="1"/>
    <col min="5" max="5" width="12.42578125" style="197" customWidth="1"/>
    <col min="6" max="6" width="11.28515625" style="197" customWidth="1"/>
    <col min="7" max="7" width="13.28515625" style="37" customWidth="1"/>
    <col min="8" max="8" width="12.42578125" style="37" customWidth="1"/>
    <col min="9" max="9" width="10.28515625" style="37" customWidth="1"/>
    <col min="10" max="10" width="10.42578125" style="37" customWidth="1"/>
    <col min="11" max="11" width="5.7109375" customWidth="1"/>
    <col min="12" max="12" width="6.140625" customWidth="1"/>
  </cols>
  <sheetData>
    <row r="1" spans="1:11">
      <c r="A1" s="42"/>
      <c r="B1" s="42"/>
      <c r="C1" s="42"/>
      <c r="D1" s="518" t="s">
        <v>249</v>
      </c>
      <c r="E1" s="518"/>
      <c r="F1" s="518"/>
      <c r="G1" s="518"/>
      <c r="H1" s="518"/>
      <c r="I1" s="518"/>
      <c r="J1" s="518"/>
      <c r="K1" s="518"/>
    </row>
    <row r="2" spans="1:11">
      <c r="A2" s="519" t="s">
        <v>2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</row>
    <row r="3" spans="1:11">
      <c r="A3" s="519" t="s">
        <v>3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</row>
    <row r="4" spans="1:11">
      <c r="A4" s="519" t="s">
        <v>4</v>
      </c>
      <c r="B4" s="519"/>
      <c r="C4" s="519"/>
      <c r="D4" s="519"/>
      <c r="E4" s="519"/>
      <c r="F4" s="519"/>
      <c r="G4" s="519"/>
      <c r="H4" s="519"/>
      <c r="I4" s="519"/>
      <c r="J4" s="519"/>
      <c r="K4" s="519"/>
    </row>
    <row r="5" spans="1:11">
      <c r="A5" s="519" t="s">
        <v>318</v>
      </c>
      <c r="B5" s="519"/>
      <c r="C5" s="519"/>
      <c r="D5" s="519"/>
      <c r="E5" s="519"/>
      <c r="F5" s="519"/>
      <c r="G5" s="519"/>
      <c r="H5" s="519"/>
      <c r="I5" s="519"/>
      <c r="J5" s="519"/>
      <c r="K5" s="519"/>
    </row>
    <row r="6" spans="1:11">
      <c r="A6" s="42"/>
      <c r="B6" s="42"/>
      <c r="C6" s="42"/>
      <c r="D6" s="42"/>
      <c r="E6" s="196"/>
      <c r="F6" s="196"/>
      <c r="G6" s="43"/>
      <c r="H6" s="43"/>
      <c r="I6" s="133" t="s">
        <v>142</v>
      </c>
      <c r="J6" s="332"/>
    </row>
    <row r="7" spans="1:11" s="91" customFormat="1" ht="11.25">
      <c r="A7" s="502" t="s">
        <v>0</v>
      </c>
      <c r="B7" s="502" t="s">
        <v>62</v>
      </c>
      <c r="C7" s="502" t="s">
        <v>63</v>
      </c>
      <c r="D7" s="502" t="s">
        <v>1</v>
      </c>
      <c r="E7" s="523" t="s">
        <v>157</v>
      </c>
      <c r="F7" s="523" t="s">
        <v>127</v>
      </c>
      <c r="G7" s="528" t="s">
        <v>308</v>
      </c>
      <c r="H7" s="529"/>
      <c r="I7" s="529"/>
      <c r="J7" s="530"/>
      <c r="K7" s="520" t="s">
        <v>128</v>
      </c>
    </row>
    <row r="8" spans="1:11" s="91" customFormat="1" ht="10.5" customHeight="1">
      <c r="A8" s="503"/>
      <c r="B8" s="503"/>
      <c r="C8" s="503"/>
      <c r="D8" s="503"/>
      <c r="E8" s="524"/>
      <c r="F8" s="524"/>
      <c r="G8" s="527" t="s">
        <v>189</v>
      </c>
      <c r="H8" s="331" t="s">
        <v>10</v>
      </c>
      <c r="I8" s="526" t="s">
        <v>190</v>
      </c>
      <c r="J8" s="331" t="s">
        <v>10</v>
      </c>
      <c r="K8" s="521"/>
    </row>
    <row r="9" spans="1:11" s="91" customFormat="1" ht="112.5" customHeight="1">
      <c r="A9" s="504"/>
      <c r="B9" s="504"/>
      <c r="C9" s="504"/>
      <c r="D9" s="504"/>
      <c r="E9" s="525"/>
      <c r="F9" s="525"/>
      <c r="G9" s="527"/>
      <c r="H9" s="330" t="s">
        <v>309</v>
      </c>
      <c r="I9" s="526"/>
      <c r="J9" s="345" t="s">
        <v>309</v>
      </c>
      <c r="K9" s="522"/>
    </row>
    <row r="10" spans="1:11" s="91" customFormat="1" ht="11.25">
      <c r="A10" s="49">
        <v>1</v>
      </c>
      <c r="B10" s="49">
        <v>2</v>
      </c>
      <c r="C10" s="49">
        <v>3</v>
      </c>
      <c r="D10" s="49">
        <v>4</v>
      </c>
      <c r="E10" s="200">
        <v>5</v>
      </c>
      <c r="F10" s="178">
        <v>6</v>
      </c>
      <c r="G10" s="178">
        <v>7</v>
      </c>
      <c r="H10" s="178">
        <v>8</v>
      </c>
      <c r="I10" s="178">
        <v>9</v>
      </c>
      <c r="J10" s="200">
        <v>10</v>
      </c>
      <c r="K10" s="178">
        <v>11</v>
      </c>
    </row>
    <row r="11" spans="1:11" s="72" customFormat="1" ht="12">
      <c r="A11" s="142" t="s">
        <v>13</v>
      </c>
      <c r="B11" s="145"/>
      <c r="C11" s="143"/>
      <c r="D11" s="464" t="s">
        <v>27</v>
      </c>
      <c r="E11" s="201">
        <f t="shared" ref="E11:J11" si="0">E12</f>
        <v>21000</v>
      </c>
      <c r="F11" s="201">
        <f t="shared" si="0"/>
        <v>1599</v>
      </c>
      <c r="G11" s="208">
        <f t="shared" si="0"/>
        <v>1599</v>
      </c>
      <c r="H11" s="208">
        <f t="shared" si="0"/>
        <v>0</v>
      </c>
      <c r="I11" s="208">
        <f t="shared" si="0"/>
        <v>0</v>
      </c>
      <c r="J11" s="208">
        <f t="shared" si="0"/>
        <v>0</v>
      </c>
      <c r="K11" s="295">
        <f>(G11+I11)/E11*100</f>
        <v>7.6142857142857139</v>
      </c>
    </row>
    <row r="12" spans="1:11" s="72" customFormat="1" ht="12">
      <c r="A12" s="502" t="s">
        <v>12</v>
      </c>
      <c r="B12" s="144" t="s">
        <v>48</v>
      </c>
      <c r="C12" s="175"/>
      <c r="D12" s="115" t="s">
        <v>64</v>
      </c>
      <c r="E12" s="202">
        <f>E13</f>
        <v>21000</v>
      </c>
      <c r="F12" s="202">
        <f>F13</f>
        <v>1599</v>
      </c>
      <c r="G12" s="209">
        <f>G13</f>
        <v>1599</v>
      </c>
      <c r="H12" s="215">
        <v>0</v>
      </c>
      <c r="I12" s="209">
        <v>0</v>
      </c>
      <c r="J12" s="209">
        <v>0</v>
      </c>
      <c r="K12" s="296">
        <f>(G12+I12)/E12*100</f>
        <v>7.6142857142857139</v>
      </c>
    </row>
    <row r="13" spans="1:11" s="72" customFormat="1" ht="23.25" customHeight="1">
      <c r="A13" s="503"/>
      <c r="B13" s="175"/>
      <c r="C13" s="175">
        <v>2110</v>
      </c>
      <c r="D13" s="115" t="s">
        <v>65</v>
      </c>
      <c r="E13" s="202">
        <v>21000</v>
      </c>
      <c r="F13" s="202">
        <v>1599</v>
      </c>
      <c r="G13" s="209">
        <v>1599</v>
      </c>
      <c r="H13" s="215">
        <v>0</v>
      </c>
      <c r="I13" s="215">
        <v>0</v>
      </c>
      <c r="J13" s="215">
        <v>0</v>
      </c>
      <c r="K13" s="296">
        <f t="shared" ref="K13:K74" si="1">(G13+I13)/E13*100</f>
        <v>7.6142857142857139</v>
      </c>
    </row>
    <row r="14" spans="1:11" s="72" customFormat="1" ht="12">
      <c r="A14" s="145" t="s">
        <v>14</v>
      </c>
      <c r="B14" s="146"/>
      <c r="C14" s="146"/>
      <c r="D14" s="147" t="s">
        <v>28</v>
      </c>
      <c r="E14" s="201">
        <f>E17</f>
        <v>270000</v>
      </c>
      <c r="F14" s="346">
        <f t="shared" ref="F14:F71" si="2">G14+I14</f>
        <v>132553.38999999998</v>
      </c>
      <c r="G14" s="208">
        <f>G15</f>
        <v>132553.38999999998</v>
      </c>
      <c r="H14" s="208">
        <f>H15</f>
        <v>0</v>
      </c>
      <c r="I14" s="208">
        <v>0</v>
      </c>
      <c r="J14" s="208">
        <v>0</v>
      </c>
      <c r="K14" s="297">
        <f t="shared" si="1"/>
        <v>49.093848148148147</v>
      </c>
    </row>
    <row r="15" spans="1:11" s="72" customFormat="1" ht="12">
      <c r="A15" s="509" t="s">
        <v>12</v>
      </c>
      <c r="B15" s="144" t="s">
        <v>66</v>
      </c>
      <c r="C15" s="175"/>
      <c r="D15" s="115" t="s">
        <v>67</v>
      </c>
      <c r="E15" s="202">
        <f>E17+E16</f>
        <v>270000</v>
      </c>
      <c r="F15" s="202">
        <f t="shared" si="2"/>
        <v>132553.38999999998</v>
      </c>
      <c r="G15" s="209">
        <f>G17+G16</f>
        <v>132553.38999999998</v>
      </c>
      <c r="H15" s="215">
        <v>0</v>
      </c>
      <c r="I15" s="215">
        <v>0</v>
      </c>
      <c r="J15" s="215">
        <v>0</v>
      </c>
      <c r="K15" s="296">
        <f t="shared" si="1"/>
        <v>49.093848148148147</v>
      </c>
    </row>
    <row r="16" spans="1:11" s="72" customFormat="1" ht="12">
      <c r="A16" s="509"/>
      <c r="B16" s="531"/>
      <c r="C16" s="144" t="s">
        <v>56</v>
      </c>
      <c r="D16" s="115" t="s">
        <v>58</v>
      </c>
      <c r="E16" s="202">
        <v>0</v>
      </c>
      <c r="F16" s="202">
        <f t="shared" si="2"/>
        <v>3430.44</v>
      </c>
      <c r="G16" s="209">
        <v>3430.44</v>
      </c>
      <c r="H16" s="215">
        <v>0</v>
      </c>
      <c r="I16" s="215">
        <v>0</v>
      </c>
      <c r="J16" s="215">
        <v>0</v>
      </c>
      <c r="K16" s="296"/>
    </row>
    <row r="17" spans="1:11" s="72" customFormat="1" ht="33" customHeight="1">
      <c r="A17" s="509"/>
      <c r="B17" s="532"/>
      <c r="C17" s="175">
        <v>2460</v>
      </c>
      <c r="D17" s="115" t="s">
        <v>68</v>
      </c>
      <c r="E17" s="202">
        <v>270000</v>
      </c>
      <c r="F17" s="202">
        <f t="shared" si="2"/>
        <v>129122.95</v>
      </c>
      <c r="G17" s="209">
        <v>129122.95</v>
      </c>
      <c r="H17" s="215">
        <v>0</v>
      </c>
      <c r="I17" s="215">
        <v>0</v>
      </c>
      <c r="J17" s="215">
        <v>0</v>
      </c>
      <c r="K17" s="296">
        <f t="shared" si="1"/>
        <v>47.823314814814815</v>
      </c>
    </row>
    <row r="18" spans="1:11" s="72" customFormat="1" ht="12">
      <c r="A18" s="146">
        <v>600</v>
      </c>
      <c r="B18" s="146"/>
      <c r="C18" s="146"/>
      <c r="D18" s="147" t="s">
        <v>69</v>
      </c>
      <c r="E18" s="201">
        <f t="shared" ref="E18:J18" si="3">E19</f>
        <v>16500</v>
      </c>
      <c r="F18" s="346">
        <f t="shared" si="3"/>
        <v>21465.739999999998</v>
      </c>
      <c r="G18" s="208">
        <f t="shared" si="3"/>
        <v>21465.739999999998</v>
      </c>
      <c r="H18" s="208">
        <f t="shared" si="3"/>
        <v>0</v>
      </c>
      <c r="I18" s="208">
        <f t="shared" si="3"/>
        <v>0</v>
      </c>
      <c r="J18" s="208">
        <f t="shared" si="3"/>
        <v>0</v>
      </c>
      <c r="K18" s="297">
        <f t="shared" si="1"/>
        <v>130.09539393939394</v>
      </c>
    </row>
    <row r="19" spans="1:11" s="72" customFormat="1" ht="12">
      <c r="A19" s="502"/>
      <c r="B19" s="175">
        <v>60014</v>
      </c>
      <c r="C19" s="175"/>
      <c r="D19" s="115" t="s">
        <v>39</v>
      </c>
      <c r="E19" s="202">
        <f>SUM(E20:E23)</f>
        <v>16500</v>
      </c>
      <c r="F19" s="202">
        <f t="shared" si="2"/>
        <v>21465.739999999998</v>
      </c>
      <c r="G19" s="202">
        <f>SUM(G20:G23)</f>
        <v>21465.739999999998</v>
      </c>
      <c r="H19" s="215">
        <v>0</v>
      </c>
      <c r="I19" s="202">
        <f>SUM(I20:I23)</f>
        <v>0</v>
      </c>
      <c r="J19" s="202">
        <f>SUM(J20:J23)</f>
        <v>0</v>
      </c>
      <c r="K19" s="296">
        <f t="shared" si="1"/>
        <v>130.09539393939394</v>
      </c>
    </row>
    <row r="20" spans="1:11" s="72" customFormat="1" ht="12">
      <c r="A20" s="503"/>
      <c r="B20" s="502"/>
      <c r="C20" s="144" t="s">
        <v>55</v>
      </c>
      <c r="D20" s="115" t="s">
        <v>57</v>
      </c>
      <c r="E20" s="202">
        <v>0</v>
      </c>
      <c r="F20" s="202">
        <f t="shared" si="2"/>
        <v>773.34</v>
      </c>
      <c r="G20" s="209">
        <v>773.34</v>
      </c>
      <c r="H20" s="215">
        <v>0</v>
      </c>
      <c r="I20" s="215">
        <v>0</v>
      </c>
      <c r="J20" s="215">
        <v>0</v>
      </c>
      <c r="K20" s="296"/>
    </row>
    <row r="21" spans="1:11" s="72" customFormat="1" ht="12">
      <c r="A21" s="503"/>
      <c r="B21" s="503"/>
      <c r="C21" s="144" t="s">
        <v>184</v>
      </c>
      <c r="D21" s="465" t="s">
        <v>408</v>
      </c>
      <c r="E21" s="202">
        <v>0</v>
      </c>
      <c r="F21" s="202">
        <f>G21</f>
        <v>71.23</v>
      </c>
      <c r="G21" s="209">
        <v>71.23</v>
      </c>
      <c r="H21" s="215">
        <v>0</v>
      </c>
      <c r="I21" s="215">
        <v>0</v>
      </c>
      <c r="J21" s="215">
        <v>0</v>
      </c>
      <c r="K21" s="296"/>
    </row>
    <row r="22" spans="1:11" s="72" customFormat="1" ht="12">
      <c r="A22" s="503"/>
      <c r="B22" s="503"/>
      <c r="C22" s="144" t="s">
        <v>49</v>
      </c>
      <c r="D22" s="115" t="s">
        <v>59</v>
      </c>
      <c r="E22" s="202">
        <v>1500</v>
      </c>
      <c r="F22" s="202">
        <f t="shared" si="2"/>
        <v>1203.1400000000001</v>
      </c>
      <c r="G22" s="209">
        <v>1203.1400000000001</v>
      </c>
      <c r="H22" s="215">
        <v>0</v>
      </c>
      <c r="I22" s="215">
        <v>0</v>
      </c>
      <c r="J22" s="215">
        <v>0</v>
      </c>
      <c r="K22" s="296">
        <f t="shared" si="1"/>
        <v>80.209333333333348</v>
      </c>
    </row>
    <row r="23" spans="1:11" s="72" customFormat="1" ht="12">
      <c r="A23" s="503"/>
      <c r="B23" s="503"/>
      <c r="C23" s="144" t="s">
        <v>56</v>
      </c>
      <c r="D23" s="115" t="s">
        <v>58</v>
      </c>
      <c r="E23" s="202">
        <v>15000</v>
      </c>
      <c r="F23" s="202">
        <f t="shared" si="2"/>
        <v>19418.03</v>
      </c>
      <c r="G23" s="209">
        <v>19418.03</v>
      </c>
      <c r="H23" s="215">
        <v>0</v>
      </c>
      <c r="I23" s="215">
        <v>0</v>
      </c>
      <c r="J23" s="215">
        <v>0</v>
      </c>
      <c r="K23" s="296">
        <f t="shared" si="1"/>
        <v>129.45353333333333</v>
      </c>
    </row>
    <row r="24" spans="1:11" s="72" customFormat="1" ht="12">
      <c r="A24" s="146">
        <v>700</v>
      </c>
      <c r="B24" s="146"/>
      <c r="C24" s="146"/>
      <c r="D24" s="147" t="s">
        <v>29</v>
      </c>
      <c r="E24" s="201">
        <f>E25</f>
        <v>1645509.01</v>
      </c>
      <c r="F24" s="346">
        <f t="shared" si="2"/>
        <v>230733.96000000002</v>
      </c>
      <c r="G24" s="208">
        <f>G25</f>
        <v>167910.96000000002</v>
      </c>
      <c r="H24" s="208">
        <f>H25</f>
        <v>0</v>
      </c>
      <c r="I24" s="208">
        <f>I25</f>
        <v>62823</v>
      </c>
      <c r="J24" s="208">
        <f>J25</f>
        <v>0</v>
      </c>
      <c r="K24" s="297">
        <f t="shared" si="1"/>
        <v>14.022041726772436</v>
      </c>
    </row>
    <row r="25" spans="1:11" s="72" customFormat="1" ht="12">
      <c r="A25" s="502" t="s">
        <v>12</v>
      </c>
      <c r="B25" s="363">
        <v>70005</v>
      </c>
      <c r="C25" s="175"/>
      <c r="D25" s="115" t="s">
        <v>70</v>
      </c>
      <c r="E25" s="202">
        <f>SUM(E26:E32)</f>
        <v>1645509.01</v>
      </c>
      <c r="F25" s="202">
        <f t="shared" si="2"/>
        <v>230733.96000000002</v>
      </c>
      <c r="G25" s="209">
        <f>SUM(G26:G32)</f>
        <v>167910.96000000002</v>
      </c>
      <c r="H25" s="215">
        <v>0</v>
      </c>
      <c r="I25" s="209">
        <f>SUM(I26:I32)</f>
        <v>62823</v>
      </c>
      <c r="J25" s="209">
        <f>SUM(J26:J32)</f>
        <v>0</v>
      </c>
      <c r="K25" s="296">
        <f t="shared" si="1"/>
        <v>14.022041726772436</v>
      </c>
    </row>
    <row r="26" spans="1:11" s="72" customFormat="1" ht="22.5" customHeight="1">
      <c r="A26" s="503"/>
      <c r="B26" s="502"/>
      <c r="C26" s="144" t="s">
        <v>20</v>
      </c>
      <c r="D26" s="115" t="s">
        <v>23</v>
      </c>
      <c r="E26" s="202">
        <v>5000</v>
      </c>
      <c r="F26" s="202">
        <f>G26</f>
        <v>6751.41</v>
      </c>
      <c r="G26" s="209">
        <v>6751.41</v>
      </c>
      <c r="H26" s="215">
        <v>0</v>
      </c>
      <c r="I26" s="209">
        <v>0</v>
      </c>
      <c r="J26" s="209">
        <v>0</v>
      </c>
      <c r="K26" s="296">
        <f t="shared" si="1"/>
        <v>135.0282</v>
      </c>
    </row>
    <row r="27" spans="1:11" s="72" customFormat="1" ht="32.25" customHeight="1">
      <c r="A27" s="503"/>
      <c r="B27" s="503"/>
      <c r="C27" s="144" t="s">
        <v>21</v>
      </c>
      <c r="D27" s="115" t="s">
        <v>163</v>
      </c>
      <c r="E27" s="202">
        <v>25000</v>
      </c>
      <c r="F27" s="202">
        <f t="shared" ref="F27:F31" si="4">G27</f>
        <v>23501.64</v>
      </c>
      <c r="G27" s="209">
        <v>23501.64</v>
      </c>
      <c r="H27" s="293">
        <v>0</v>
      </c>
      <c r="I27" s="209">
        <v>0</v>
      </c>
      <c r="J27" s="209">
        <v>0</v>
      </c>
      <c r="K27" s="296">
        <f t="shared" si="1"/>
        <v>94.006559999999993</v>
      </c>
    </row>
    <row r="28" spans="1:11" s="72" customFormat="1" ht="23.25" customHeight="1">
      <c r="A28" s="503"/>
      <c r="B28" s="503"/>
      <c r="C28" s="144" t="s">
        <v>22</v>
      </c>
      <c r="D28" s="115" t="s">
        <v>60</v>
      </c>
      <c r="E28" s="202">
        <v>1500000</v>
      </c>
      <c r="F28" s="202">
        <f>G28+I28</f>
        <v>62823</v>
      </c>
      <c r="G28" s="209">
        <v>0</v>
      </c>
      <c r="H28" s="215">
        <v>0</v>
      </c>
      <c r="I28" s="209">
        <v>62823</v>
      </c>
      <c r="J28" s="209">
        <v>0</v>
      </c>
      <c r="K28" s="296">
        <f t="shared" si="1"/>
        <v>4.1882000000000001</v>
      </c>
    </row>
    <row r="29" spans="1:11" s="72" customFormat="1" ht="12">
      <c r="A29" s="503"/>
      <c r="B29" s="503"/>
      <c r="C29" s="144" t="s">
        <v>49</v>
      </c>
      <c r="D29" s="115" t="s">
        <v>59</v>
      </c>
      <c r="E29" s="202">
        <v>4000</v>
      </c>
      <c r="F29" s="202">
        <f t="shared" si="4"/>
        <v>6450.05</v>
      </c>
      <c r="G29" s="209">
        <v>6450.05</v>
      </c>
      <c r="H29" s="215">
        <v>0</v>
      </c>
      <c r="I29" s="209">
        <v>0</v>
      </c>
      <c r="J29" s="209">
        <v>0</v>
      </c>
      <c r="K29" s="296">
        <f t="shared" si="1"/>
        <v>161.25125</v>
      </c>
    </row>
    <row r="30" spans="1:11" s="72" customFormat="1" ht="12">
      <c r="A30" s="503"/>
      <c r="B30" s="503"/>
      <c r="C30" s="144" t="s">
        <v>56</v>
      </c>
      <c r="D30" s="115" t="s">
        <v>58</v>
      </c>
      <c r="E30" s="202">
        <v>4000</v>
      </c>
      <c r="F30" s="202">
        <f t="shared" si="4"/>
        <v>14496.2</v>
      </c>
      <c r="G30" s="209">
        <v>14496.2</v>
      </c>
      <c r="H30" s="215">
        <v>0</v>
      </c>
      <c r="I30" s="209">
        <v>0</v>
      </c>
      <c r="J30" s="209">
        <v>0</v>
      </c>
      <c r="K30" s="296">
        <f t="shared" si="1"/>
        <v>362.40499999999997</v>
      </c>
    </row>
    <row r="31" spans="1:11" s="72" customFormat="1" ht="22.5" customHeight="1">
      <c r="A31" s="503"/>
      <c r="B31" s="503"/>
      <c r="C31" s="175">
        <v>2110</v>
      </c>
      <c r="D31" s="115" t="s">
        <v>65</v>
      </c>
      <c r="E31" s="202">
        <v>11000</v>
      </c>
      <c r="F31" s="202">
        <f t="shared" si="4"/>
        <v>5498</v>
      </c>
      <c r="G31" s="209">
        <v>5498</v>
      </c>
      <c r="H31" s="215">
        <v>0</v>
      </c>
      <c r="I31" s="209">
        <v>0</v>
      </c>
      <c r="J31" s="209">
        <v>0</v>
      </c>
      <c r="K31" s="296">
        <f t="shared" si="1"/>
        <v>49.981818181818184</v>
      </c>
    </row>
    <row r="32" spans="1:11" s="72" customFormat="1" ht="23.25" customHeight="1">
      <c r="A32" s="504"/>
      <c r="B32" s="504"/>
      <c r="C32" s="175">
        <v>2360</v>
      </c>
      <c r="D32" s="115" t="s">
        <v>131</v>
      </c>
      <c r="E32" s="202">
        <v>96509.01</v>
      </c>
      <c r="F32" s="202">
        <v>111213.66</v>
      </c>
      <c r="G32" s="209">
        <v>111213.66</v>
      </c>
      <c r="H32" s="215">
        <v>0</v>
      </c>
      <c r="I32" s="209">
        <v>0</v>
      </c>
      <c r="J32" s="209">
        <v>0</v>
      </c>
      <c r="K32" s="296">
        <f t="shared" si="1"/>
        <v>115.23655666968298</v>
      </c>
    </row>
    <row r="33" spans="1:11" s="72" customFormat="1" ht="12">
      <c r="A33" s="142">
        <v>710</v>
      </c>
      <c r="B33" s="145"/>
      <c r="C33" s="146"/>
      <c r="D33" s="147" t="s">
        <v>30</v>
      </c>
      <c r="E33" s="201">
        <f>E34+E36+E41</f>
        <v>762700</v>
      </c>
      <c r="F33" s="346">
        <f t="shared" si="2"/>
        <v>328204.88</v>
      </c>
      <c r="G33" s="208">
        <f>G34+G36+G41</f>
        <v>328204.88</v>
      </c>
      <c r="H33" s="208">
        <f>H34+H36+H41</f>
        <v>0</v>
      </c>
      <c r="I33" s="208">
        <v>0</v>
      </c>
      <c r="J33" s="208">
        <v>0</v>
      </c>
      <c r="K33" s="297">
        <f t="shared" si="1"/>
        <v>43.031975875180287</v>
      </c>
    </row>
    <row r="34" spans="1:11" s="72" customFormat="1" ht="12">
      <c r="A34" s="510" t="s">
        <v>12</v>
      </c>
      <c r="B34" s="144">
        <v>71013</v>
      </c>
      <c r="C34" s="175"/>
      <c r="D34" s="115" t="s">
        <v>71</v>
      </c>
      <c r="E34" s="202">
        <f>E35</f>
        <v>99000</v>
      </c>
      <c r="F34" s="202">
        <f t="shared" si="2"/>
        <v>0</v>
      </c>
      <c r="G34" s="209">
        <f>G35</f>
        <v>0</v>
      </c>
      <c r="H34" s="215">
        <v>0</v>
      </c>
      <c r="I34" s="209">
        <v>0</v>
      </c>
      <c r="J34" s="209">
        <v>0</v>
      </c>
      <c r="K34" s="296">
        <f t="shared" si="1"/>
        <v>0</v>
      </c>
    </row>
    <row r="35" spans="1:11" s="72" customFormat="1" ht="21.75" customHeight="1">
      <c r="A35" s="511"/>
      <c r="B35" s="175"/>
      <c r="C35" s="175">
        <v>2110</v>
      </c>
      <c r="D35" s="115" t="s">
        <v>65</v>
      </c>
      <c r="E35" s="202">
        <v>99000</v>
      </c>
      <c r="F35" s="202">
        <v>0</v>
      </c>
      <c r="G35" s="209">
        <v>0</v>
      </c>
      <c r="H35" s="215">
        <v>0</v>
      </c>
      <c r="I35" s="209">
        <v>0</v>
      </c>
      <c r="J35" s="209">
        <v>0</v>
      </c>
      <c r="K35" s="296">
        <f t="shared" si="1"/>
        <v>0</v>
      </c>
    </row>
    <row r="36" spans="1:11" s="72" customFormat="1" ht="12">
      <c r="A36" s="511"/>
      <c r="B36" s="175">
        <v>71014</v>
      </c>
      <c r="C36" s="175"/>
      <c r="D36" s="115" t="s">
        <v>72</v>
      </c>
      <c r="E36" s="202">
        <f>SUM(E37:E40)</f>
        <v>374000</v>
      </c>
      <c r="F36" s="202">
        <f t="shared" si="2"/>
        <v>174883.80000000002</v>
      </c>
      <c r="G36" s="202">
        <f>SUM(G37:G40)</f>
        <v>174883.80000000002</v>
      </c>
      <c r="H36" s="215">
        <v>0</v>
      </c>
      <c r="I36" s="209">
        <v>0</v>
      </c>
      <c r="J36" s="209">
        <v>0</v>
      </c>
      <c r="K36" s="296">
        <f t="shared" si="1"/>
        <v>46.760374331550807</v>
      </c>
    </row>
    <row r="37" spans="1:11" s="72" customFormat="1" ht="12">
      <c r="A37" s="511"/>
      <c r="B37" s="502"/>
      <c r="C37" s="144" t="s">
        <v>37</v>
      </c>
      <c r="D37" s="466" t="s">
        <v>38</v>
      </c>
      <c r="E37" s="202">
        <v>0</v>
      </c>
      <c r="F37" s="202">
        <f>G37</f>
        <v>26.4</v>
      </c>
      <c r="G37" s="209">
        <v>26.4</v>
      </c>
      <c r="H37" s="215">
        <v>0</v>
      </c>
      <c r="I37" s="209">
        <v>0</v>
      </c>
      <c r="J37" s="209">
        <v>0</v>
      </c>
      <c r="K37" s="296"/>
    </row>
    <row r="38" spans="1:11" s="72" customFormat="1" ht="12">
      <c r="A38" s="511"/>
      <c r="B38" s="503"/>
      <c r="C38" s="144" t="s">
        <v>55</v>
      </c>
      <c r="D38" s="115" t="s">
        <v>57</v>
      </c>
      <c r="E38" s="202">
        <v>350000</v>
      </c>
      <c r="F38" s="202">
        <f t="shared" ref="F38:F40" si="5">G38</f>
        <v>165240.20000000001</v>
      </c>
      <c r="G38" s="209">
        <v>165240.20000000001</v>
      </c>
      <c r="H38" s="215">
        <v>0</v>
      </c>
      <c r="I38" s="209">
        <v>0</v>
      </c>
      <c r="J38" s="209">
        <v>0</v>
      </c>
      <c r="K38" s="296">
        <f t="shared" si="1"/>
        <v>47.211485714285715</v>
      </c>
    </row>
    <row r="39" spans="1:11" s="72" customFormat="1" ht="12">
      <c r="A39" s="511"/>
      <c r="B39" s="503"/>
      <c r="C39" s="144" t="s">
        <v>49</v>
      </c>
      <c r="D39" s="115" t="s">
        <v>59</v>
      </c>
      <c r="E39" s="202">
        <v>0</v>
      </c>
      <c r="F39" s="202">
        <f t="shared" si="5"/>
        <v>392.2</v>
      </c>
      <c r="G39" s="209">
        <v>392.2</v>
      </c>
      <c r="H39" s="215">
        <v>0</v>
      </c>
      <c r="I39" s="209">
        <v>0</v>
      </c>
      <c r="J39" s="209">
        <v>0</v>
      </c>
      <c r="K39" s="296"/>
    </row>
    <row r="40" spans="1:11" s="72" customFormat="1" ht="21.75" customHeight="1">
      <c r="A40" s="511"/>
      <c r="B40" s="504"/>
      <c r="C40" s="175">
        <v>2110</v>
      </c>
      <c r="D40" s="115" t="s">
        <v>65</v>
      </c>
      <c r="E40" s="202">
        <v>24000</v>
      </c>
      <c r="F40" s="202">
        <f t="shared" si="5"/>
        <v>9225</v>
      </c>
      <c r="G40" s="209">
        <v>9225</v>
      </c>
      <c r="H40" s="215">
        <v>0</v>
      </c>
      <c r="I40" s="209">
        <v>0</v>
      </c>
      <c r="J40" s="209">
        <v>0</v>
      </c>
      <c r="K40" s="296">
        <f t="shared" si="1"/>
        <v>38.4375</v>
      </c>
    </row>
    <row r="41" spans="1:11" s="72" customFormat="1" ht="12">
      <c r="A41" s="511"/>
      <c r="B41" s="175">
        <v>71015</v>
      </c>
      <c r="C41" s="175"/>
      <c r="D41" s="115" t="s">
        <v>73</v>
      </c>
      <c r="E41" s="202">
        <f>SUM(E42:E45)</f>
        <v>289700</v>
      </c>
      <c r="F41" s="202">
        <f t="shared" si="2"/>
        <v>153321.07999999999</v>
      </c>
      <c r="G41" s="202">
        <f t="shared" ref="G41:I41" si="6">SUM(G42:G45)</f>
        <v>153321.07999999999</v>
      </c>
      <c r="H41" s="215">
        <v>0</v>
      </c>
      <c r="I41" s="202">
        <f t="shared" si="6"/>
        <v>0</v>
      </c>
      <c r="J41" s="202">
        <f t="shared" ref="J41" si="7">SUM(J42:J45)</f>
        <v>0</v>
      </c>
      <c r="K41" s="296">
        <f t="shared" si="1"/>
        <v>52.924086986537787</v>
      </c>
    </row>
    <row r="42" spans="1:11" s="72" customFormat="1" ht="12">
      <c r="A42" s="511"/>
      <c r="B42" s="502"/>
      <c r="C42" s="144" t="s">
        <v>37</v>
      </c>
      <c r="D42" s="466" t="s">
        <v>38</v>
      </c>
      <c r="E42" s="202">
        <v>0</v>
      </c>
      <c r="F42" s="202">
        <f>G42</f>
        <v>238.9</v>
      </c>
      <c r="G42" s="209">
        <v>238.9</v>
      </c>
      <c r="H42" s="215">
        <v>0</v>
      </c>
      <c r="I42" s="209">
        <v>0</v>
      </c>
      <c r="J42" s="209">
        <v>0</v>
      </c>
      <c r="K42" s="296"/>
    </row>
    <row r="43" spans="1:11" s="72" customFormat="1" ht="12">
      <c r="A43" s="511"/>
      <c r="B43" s="503"/>
      <c r="C43" s="144" t="s">
        <v>49</v>
      </c>
      <c r="D43" s="115" t="s">
        <v>59</v>
      </c>
      <c r="E43" s="202">
        <v>0</v>
      </c>
      <c r="F43" s="202">
        <f t="shared" ref="F43:F45" si="8">G43</f>
        <v>326.43</v>
      </c>
      <c r="G43" s="209">
        <v>326.43</v>
      </c>
      <c r="H43" s="215">
        <v>0</v>
      </c>
      <c r="I43" s="209">
        <v>0</v>
      </c>
      <c r="J43" s="209">
        <v>0</v>
      </c>
      <c r="K43" s="296"/>
    </row>
    <row r="44" spans="1:11" s="72" customFormat="1" ht="22.5" customHeight="1">
      <c r="A44" s="511"/>
      <c r="B44" s="503"/>
      <c r="C44" s="144">
        <v>2110</v>
      </c>
      <c r="D44" s="115" t="s">
        <v>65</v>
      </c>
      <c r="E44" s="202">
        <v>289700</v>
      </c>
      <c r="F44" s="202">
        <f t="shared" si="8"/>
        <v>152636</v>
      </c>
      <c r="G44" s="209">
        <v>152636</v>
      </c>
      <c r="H44" s="293">
        <v>0</v>
      </c>
      <c r="I44" s="209">
        <v>0</v>
      </c>
      <c r="J44" s="209">
        <v>0</v>
      </c>
      <c r="K44" s="296">
        <f t="shared" si="1"/>
        <v>52.687607870210563</v>
      </c>
    </row>
    <row r="45" spans="1:11" s="72" customFormat="1" ht="21.75" customHeight="1">
      <c r="A45" s="512"/>
      <c r="B45" s="504"/>
      <c r="C45" s="144">
        <v>2360</v>
      </c>
      <c r="D45" s="115" t="s">
        <v>131</v>
      </c>
      <c r="E45" s="202">
        <v>0</v>
      </c>
      <c r="F45" s="202">
        <f t="shared" si="8"/>
        <v>119.75</v>
      </c>
      <c r="G45" s="209">
        <v>119.75</v>
      </c>
      <c r="H45" s="215">
        <v>0</v>
      </c>
      <c r="I45" s="209">
        <v>0</v>
      </c>
      <c r="J45" s="209">
        <v>0</v>
      </c>
      <c r="K45" s="296"/>
    </row>
    <row r="46" spans="1:11" s="72" customFormat="1" ht="12">
      <c r="A46" s="143">
        <v>750</v>
      </c>
      <c r="B46" s="146"/>
      <c r="C46" s="146"/>
      <c r="D46" s="147" t="s">
        <v>31</v>
      </c>
      <c r="E46" s="201">
        <f>E47+E49+E53+E56</f>
        <v>411476</v>
      </c>
      <c r="F46" s="346">
        <f>G46+I46</f>
        <v>116406.15</v>
      </c>
      <c r="G46" s="201">
        <f>G47+G49+G53+G56</f>
        <v>97564.9</v>
      </c>
      <c r="H46" s="201">
        <f>H47+H49+H53+H56</f>
        <v>0</v>
      </c>
      <c r="I46" s="201">
        <f>I47+I49+I53+I56</f>
        <v>18841.25</v>
      </c>
      <c r="J46" s="201">
        <f>J47+J49+J53+J56</f>
        <v>18278.25</v>
      </c>
      <c r="K46" s="297">
        <f t="shared" si="1"/>
        <v>28.289900261497632</v>
      </c>
    </row>
    <row r="47" spans="1:11" s="72" customFormat="1" ht="12.75" customHeight="1">
      <c r="A47" s="510" t="s">
        <v>12</v>
      </c>
      <c r="B47" s="175">
        <v>75011</v>
      </c>
      <c r="C47" s="175"/>
      <c r="D47" s="115" t="s">
        <v>75</v>
      </c>
      <c r="E47" s="202">
        <f>E48</f>
        <v>104800</v>
      </c>
      <c r="F47" s="202">
        <f>F48</f>
        <v>57279</v>
      </c>
      <c r="G47" s="209">
        <v>57279</v>
      </c>
      <c r="H47" s="215">
        <v>0</v>
      </c>
      <c r="I47" s="209">
        <v>0</v>
      </c>
      <c r="J47" s="209">
        <v>0</v>
      </c>
      <c r="K47" s="296">
        <f t="shared" si="1"/>
        <v>54.655534351145043</v>
      </c>
    </row>
    <row r="48" spans="1:11" s="72" customFormat="1" ht="23.25" customHeight="1">
      <c r="A48" s="511"/>
      <c r="B48" s="175"/>
      <c r="C48" s="175">
        <v>2110</v>
      </c>
      <c r="D48" s="115" t="s">
        <v>65</v>
      </c>
      <c r="E48" s="202">
        <v>104800</v>
      </c>
      <c r="F48" s="202">
        <f>G48</f>
        <v>57279</v>
      </c>
      <c r="G48" s="209">
        <v>57279</v>
      </c>
      <c r="H48" s="215">
        <v>0</v>
      </c>
      <c r="I48" s="209">
        <v>0</v>
      </c>
      <c r="J48" s="209">
        <v>0</v>
      </c>
      <c r="K48" s="296">
        <f t="shared" si="1"/>
        <v>54.655534351145043</v>
      </c>
    </row>
    <row r="49" spans="1:11" s="72" customFormat="1" ht="12">
      <c r="A49" s="511"/>
      <c r="B49" s="175">
        <v>75020</v>
      </c>
      <c r="C49" s="175"/>
      <c r="D49" s="115" t="s">
        <v>76</v>
      </c>
      <c r="E49" s="202">
        <f>E50+E52+E51</f>
        <v>30000</v>
      </c>
      <c r="F49" s="202">
        <f t="shared" si="2"/>
        <v>18138.899999999998</v>
      </c>
      <c r="G49" s="202">
        <f t="shared" ref="G49:I49" si="9">G50+G52+G51</f>
        <v>18138.899999999998</v>
      </c>
      <c r="H49" s="215">
        <v>0</v>
      </c>
      <c r="I49" s="202">
        <f t="shared" si="9"/>
        <v>0</v>
      </c>
      <c r="J49" s="202">
        <f t="shared" ref="J49" si="10">J50+J52+J51</f>
        <v>0</v>
      </c>
      <c r="K49" s="296">
        <f t="shared" si="1"/>
        <v>60.462999999999987</v>
      </c>
    </row>
    <row r="50" spans="1:11" s="72" customFormat="1" ht="12">
      <c r="A50" s="511"/>
      <c r="B50" s="502"/>
      <c r="C50" s="144" t="s">
        <v>37</v>
      </c>
      <c r="D50" s="466" t="s">
        <v>38</v>
      </c>
      <c r="E50" s="202">
        <v>0</v>
      </c>
      <c r="F50" s="202">
        <f>G50:G51</f>
        <v>61.6</v>
      </c>
      <c r="G50" s="209">
        <v>61.6</v>
      </c>
      <c r="H50" s="215">
        <v>0</v>
      </c>
      <c r="I50" s="209">
        <v>0</v>
      </c>
      <c r="J50" s="209">
        <v>0</v>
      </c>
      <c r="K50" s="296"/>
    </row>
    <row r="51" spans="1:11" s="72" customFormat="1" ht="33.75" customHeight="1">
      <c r="A51" s="511"/>
      <c r="B51" s="503"/>
      <c r="C51" s="144" t="s">
        <v>21</v>
      </c>
      <c r="D51" s="115" t="s">
        <v>163</v>
      </c>
      <c r="E51" s="202">
        <v>0</v>
      </c>
      <c r="F51" s="202">
        <f>G51:G53</f>
        <v>17</v>
      </c>
      <c r="G51" s="209">
        <v>17</v>
      </c>
      <c r="H51" s="215">
        <v>0</v>
      </c>
      <c r="I51" s="209">
        <v>0</v>
      </c>
      <c r="J51" s="209">
        <v>0</v>
      </c>
      <c r="K51" s="296"/>
    </row>
    <row r="52" spans="1:11" s="72" customFormat="1" ht="12">
      <c r="A52" s="511"/>
      <c r="B52" s="503"/>
      <c r="C52" s="144" t="s">
        <v>56</v>
      </c>
      <c r="D52" s="115" t="s">
        <v>58</v>
      </c>
      <c r="E52" s="202">
        <v>30000</v>
      </c>
      <c r="F52" s="202">
        <f>G52</f>
        <v>18060.3</v>
      </c>
      <c r="G52" s="209">
        <v>18060.3</v>
      </c>
      <c r="H52" s="215">
        <v>0</v>
      </c>
      <c r="I52" s="209">
        <v>0</v>
      </c>
      <c r="J52" s="209">
        <v>0</v>
      </c>
      <c r="K52" s="296">
        <f t="shared" si="1"/>
        <v>60.200999999999993</v>
      </c>
    </row>
    <row r="53" spans="1:11" s="72" customFormat="1" ht="12">
      <c r="A53" s="511"/>
      <c r="B53" s="175">
        <v>75045</v>
      </c>
      <c r="C53" s="175"/>
      <c r="D53" s="115" t="s">
        <v>286</v>
      </c>
      <c r="E53" s="202">
        <f>E54+E55</f>
        <v>20500</v>
      </c>
      <c r="F53" s="202">
        <f t="shared" si="2"/>
        <v>17154.509999999998</v>
      </c>
      <c r="G53" s="209">
        <f>G54+G55</f>
        <v>17154.509999999998</v>
      </c>
      <c r="H53" s="215">
        <v>0</v>
      </c>
      <c r="I53" s="209">
        <v>0</v>
      </c>
      <c r="J53" s="209">
        <v>0</v>
      </c>
      <c r="K53" s="296">
        <f t="shared" si="1"/>
        <v>83.680536585365843</v>
      </c>
    </row>
    <row r="54" spans="1:11" s="72" customFormat="1" ht="22.5" customHeight="1">
      <c r="A54" s="511"/>
      <c r="B54" s="509"/>
      <c r="C54" s="175">
        <v>2110</v>
      </c>
      <c r="D54" s="115" t="s">
        <v>65</v>
      </c>
      <c r="E54" s="202">
        <v>20000</v>
      </c>
      <c r="F54" s="202">
        <f>G54</f>
        <v>17154.509999999998</v>
      </c>
      <c r="G54" s="209">
        <v>17154.509999999998</v>
      </c>
      <c r="H54" s="293">
        <v>0</v>
      </c>
      <c r="I54" s="209">
        <v>0</v>
      </c>
      <c r="J54" s="209">
        <v>0</v>
      </c>
      <c r="K54" s="296">
        <f t="shared" si="1"/>
        <v>85.772549999999995</v>
      </c>
    </row>
    <row r="55" spans="1:11" s="72" customFormat="1" ht="36" customHeight="1">
      <c r="A55" s="511"/>
      <c r="B55" s="509"/>
      <c r="C55" s="175">
        <v>2120</v>
      </c>
      <c r="D55" s="115" t="s">
        <v>24</v>
      </c>
      <c r="E55" s="202">
        <v>500</v>
      </c>
      <c r="F55" s="202">
        <v>0</v>
      </c>
      <c r="G55" s="209">
        <v>0</v>
      </c>
      <c r="H55" s="215">
        <v>0</v>
      </c>
      <c r="I55" s="209">
        <v>0</v>
      </c>
      <c r="J55" s="209">
        <v>0</v>
      </c>
      <c r="K55" s="296">
        <f t="shared" si="1"/>
        <v>0</v>
      </c>
    </row>
    <row r="56" spans="1:11" s="72" customFormat="1" ht="12">
      <c r="A56" s="511"/>
      <c r="B56" s="193">
        <v>75095</v>
      </c>
      <c r="C56" s="193"/>
      <c r="D56" s="115" t="s">
        <v>74</v>
      </c>
      <c r="E56" s="202">
        <f>SUM(E57:E61)</f>
        <v>256176</v>
      </c>
      <c r="F56" s="202">
        <f t="shared" ref="F56:J56" si="11">SUM(F57:F61)</f>
        <v>23833.739999999998</v>
      </c>
      <c r="G56" s="202">
        <f t="shared" si="11"/>
        <v>4992.49</v>
      </c>
      <c r="H56" s="202">
        <f t="shared" si="11"/>
        <v>0</v>
      </c>
      <c r="I56" s="202">
        <f t="shared" si="11"/>
        <v>18841.25</v>
      </c>
      <c r="J56" s="202">
        <f t="shared" si="11"/>
        <v>18278.25</v>
      </c>
      <c r="K56" s="296">
        <f t="shared" si="1"/>
        <v>9.3036584223346441</v>
      </c>
    </row>
    <row r="57" spans="1:11" s="72" customFormat="1" ht="12">
      <c r="A57" s="511"/>
      <c r="B57" s="502"/>
      <c r="C57" s="144" t="s">
        <v>185</v>
      </c>
      <c r="D57" s="470" t="s">
        <v>188</v>
      </c>
      <c r="E57" s="202">
        <v>0</v>
      </c>
      <c r="F57" s="202">
        <f>I57</f>
        <v>563</v>
      </c>
      <c r="G57" s="202">
        <v>0</v>
      </c>
      <c r="H57" s="293">
        <v>0</v>
      </c>
      <c r="I57" s="209">
        <v>563</v>
      </c>
      <c r="J57" s="209">
        <v>0</v>
      </c>
      <c r="K57" s="296"/>
    </row>
    <row r="58" spans="1:11" s="72" customFormat="1" ht="12">
      <c r="A58" s="511"/>
      <c r="B58" s="503"/>
      <c r="C58" s="144" t="s">
        <v>49</v>
      </c>
      <c r="D58" s="115" t="s">
        <v>59</v>
      </c>
      <c r="E58" s="202">
        <v>0</v>
      </c>
      <c r="F58" s="202">
        <v>246.89</v>
      </c>
      <c r="G58" s="202">
        <v>246.89</v>
      </c>
      <c r="H58" s="215">
        <v>0</v>
      </c>
      <c r="I58" s="209">
        <v>0</v>
      </c>
      <c r="J58" s="209">
        <v>0</v>
      </c>
      <c r="K58" s="296"/>
    </row>
    <row r="59" spans="1:11" s="72" customFormat="1" ht="12">
      <c r="A59" s="511"/>
      <c r="B59" s="503"/>
      <c r="C59" s="144" t="s">
        <v>56</v>
      </c>
      <c r="D59" s="115" t="s">
        <v>58</v>
      </c>
      <c r="E59" s="202">
        <v>0</v>
      </c>
      <c r="F59" s="202">
        <f>G59</f>
        <v>2569.6</v>
      </c>
      <c r="G59" s="209">
        <v>2569.6</v>
      </c>
      <c r="H59" s="215">
        <v>0</v>
      </c>
      <c r="I59" s="209">
        <v>0</v>
      </c>
      <c r="J59" s="209">
        <v>0</v>
      </c>
      <c r="K59" s="296"/>
    </row>
    <row r="60" spans="1:11" s="72" customFormat="1" ht="35.25" customHeight="1">
      <c r="A60" s="511"/>
      <c r="B60" s="503"/>
      <c r="C60" s="144">
        <v>2110</v>
      </c>
      <c r="D60" s="115" t="s">
        <v>312</v>
      </c>
      <c r="E60" s="202">
        <v>2176</v>
      </c>
      <c r="F60" s="202">
        <f>G60</f>
        <v>2176</v>
      </c>
      <c r="G60" s="209">
        <v>2176</v>
      </c>
      <c r="H60" s="215">
        <v>0</v>
      </c>
      <c r="I60" s="209">
        <v>0</v>
      </c>
      <c r="J60" s="209">
        <v>0</v>
      </c>
      <c r="K60" s="296">
        <f t="shared" si="1"/>
        <v>100</v>
      </c>
    </row>
    <row r="61" spans="1:11" s="72" customFormat="1" ht="32.25" customHeight="1">
      <c r="A61" s="512"/>
      <c r="B61" s="504"/>
      <c r="C61" s="193">
        <v>6627</v>
      </c>
      <c r="D61" s="115" t="s">
        <v>206</v>
      </c>
      <c r="E61" s="202">
        <v>254000</v>
      </c>
      <c r="F61" s="202">
        <f t="shared" si="2"/>
        <v>18278.25</v>
      </c>
      <c r="G61" s="209">
        <v>0</v>
      </c>
      <c r="H61" s="215">
        <v>0</v>
      </c>
      <c r="I61" s="209">
        <v>18278.25</v>
      </c>
      <c r="J61" s="209">
        <v>18278.25</v>
      </c>
      <c r="K61" s="296">
        <f t="shared" si="1"/>
        <v>7.1961614173228341</v>
      </c>
    </row>
    <row r="62" spans="1:11" s="72" customFormat="1" ht="12">
      <c r="A62" s="146">
        <v>754</v>
      </c>
      <c r="B62" s="146"/>
      <c r="C62" s="146"/>
      <c r="D62" s="147" t="s">
        <v>32</v>
      </c>
      <c r="E62" s="201">
        <f>E63+E68</f>
        <v>2982732.22</v>
      </c>
      <c r="F62" s="346">
        <f t="shared" si="2"/>
        <v>1858975.7299999997</v>
      </c>
      <c r="G62" s="208">
        <f>G63+G68</f>
        <v>1858975.7299999997</v>
      </c>
      <c r="H62" s="208">
        <f>H63+H68</f>
        <v>0</v>
      </c>
      <c r="I62" s="208">
        <f>I63+I68</f>
        <v>0</v>
      </c>
      <c r="J62" s="208">
        <f>J63+J68</f>
        <v>0</v>
      </c>
      <c r="K62" s="297">
        <f t="shared" si="1"/>
        <v>62.324593456129953</v>
      </c>
    </row>
    <row r="63" spans="1:11" s="72" customFormat="1" ht="11.25" customHeight="1">
      <c r="A63" s="503"/>
      <c r="B63" s="175">
        <v>75411</v>
      </c>
      <c r="C63" s="175"/>
      <c r="D63" s="115" t="s">
        <v>40</v>
      </c>
      <c r="E63" s="202">
        <f>SUM(E64:E66)</f>
        <v>2976000</v>
      </c>
      <c r="F63" s="202">
        <f t="shared" si="2"/>
        <v>1852243.5099999998</v>
      </c>
      <c r="G63" s="209">
        <f>SUM(G64:G67)</f>
        <v>1852243.5099999998</v>
      </c>
      <c r="H63" s="215">
        <v>0</v>
      </c>
      <c r="I63" s="209">
        <f>SUM(I64:I66)</f>
        <v>0</v>
      </c>
      <c r="J63" s="209">
        <f>SUM(J64:J66)</f>
        <v>0</v>
      </c>
      <c r="K63" s="296">
        <f t="shared" si="1"/>
        <v>62.239365255376335</v>
      </c>
    </row>
    <row r="64" spans="1:11" s="72" customFormat="1" ht="12">
      <c r="A64" s="503"/>
      <c r="B64" s="502"/>
      <c r="C64" s="144" t="s">
        <v>49</v>
      </c>
      <c r="D64" s="115" t="s">
        <v>59</v>
      </c>
      <c r="E64" s="202">
        <v>6000</v>
      </c>
      <c r="F64" s="202">
        <f>G64</f>
        <v>2852.13</v>
      </c>
      <c r="G64" s="209">
        <v>2852.13</v>
      </c>
      <c r="H64" s="215">
        <v>0</v>
      </c>
      <c r="I64" s="209">
        <v>0</v>
      </c>
      <c r="J64" s="209">
        <v>0</v>
      </c>
      <c r="K64" s="296">
        <f t="shared" si="1"/>
        <v>47.535500000000006</v>
      </c>
    </row>
    <row r="65" spans="1:11" s="72" customFormat="1" ht="12">
      <c r="A65" s="503"/>
      <c r="B65" s="503"/>
      <c r="C65" s="144" t="s">
        <v>56</v>
      </c>
      <c r="D65" s="115" t="s">
        <v>58</v>
      </c>
      <c r="E65" s="202">
        <v>800</v>
      </c>
      <c r="F65" s="202">
        <f t="shared" ref="F65:F66" si="12">G65</f>
        <v>381</v>
      </c>
      <c r="G65" s="209">
        <v>381</v>
      </c>
      <c r="H65" s="215">
        <v>0</v>
      </c>
      <c r="I65" s="209">
        <v>0</v>
      </c>
      <c r="J65" s="209">
        <v>0</v>
      </c>
      <c r="K65" s="296">
        <f t="shared" si="1"/>
        <v>47.625</v>
      </c>
    </row>
    <row r="66" spans="1:11" s="72" customFormat="1" ht="21.75" customHeight="1">
      <c r="A66" s="503"/>
      <c r="B66" s="503"/>
      <c r="C66" s="175">
        <v>2110</v>
      </c>
      <c r="D66" s="115" t="s">
        <v>65</v>
      </c>
      <c r="E66" s="202">
        <v>2969200</v>
      </c>
      <c r="F66" s="202">
        <f t="shared" si="12"/>
        <v>1849009</v>
      </c>
      <c r="G66" s="209">
        <v>1849009</v>
      </c>
      <c r="H66" s="215">
        <v>0</v>
      </c>
      <c r="I66" s="209">
        <v>0</v>
      </c>
      <c r="J66" s="209">
        <v>0</v>
      </c>
      <c r="K66" s="296">
        <f t="shared" si="1"/>
        <v>62.272969149939371</v>
      </c>
    </row>
    <row r="67" spans="1:11" s="72" customFormat="1" ht="26.25" customHeight="1">
      <c r="A67" s="503"/>
      <c r="B67" s="504"/>
      <c r="C67" s="422">
        <v>2360</v>
      </c>
      <c r="D67" s="115" t="s">
        <v>131</v>
      </c>
      <c r="E67" s="202">
        <v>0</v>
      </c>
      <c r="F67" s="202">
        <v>1.38</v>
      </c>
      <c r="G67" s="209">
        <v>1.38</v>
      </c>
      <c r="H67" s="215">
        <v>0</v>
      </c>
      <c r="I67" s="209">
        <v>0</v>
      </c>
      <c r="J67" s="209">
        <v>0</v>
      </c>
      <c r="K67" s="296"/>
    </row>
    <row r="68" spans="1:11" s="72" customFormat="1" ht="12">
      <c r="A68" s="503"/>
      <c r="B68" s="175">
        <v>75421</v>
      </c>
      <c r="C68" s="175"/>
      <c r="D68" s="115" t="s">
        <v>164</v>
      </c>
      <c r="E68" s="202">
        <f>E69</f>
        <v>6732.22</v>
      </c>
      <c r="F68" s="202">
        <f t="shared" si="2"/>
        <v>6732.22</v>
      </c>
      <c r="G68" s="209">
        <f>G69</f>
        <v>6732.22</v>
      </c>
      <c r="H68" s="215">
        <v>0</v>
      </c>
      <c r="I68" s="209">
        <v>0</v>
      </c>
      <c r="J68" s="209">
        <v>0</v>
      </c>
      <c r="K68" s="296">
        <f t="shared" si="1"/>
        <v>100</v>
      </c>
    </row>
    <row r="69" spans="1:11" s="72" customFormat="1" ht="34.5" customHeight="1">
      <c r="A69" s="504"/>
      <c r="B69" s="175"/>
      <c r="C69" s="175">
        <v>2310</v>
      </c>
      <c r="D69" s="115" t="s">
        <v>133</v>
      </c>
      <c r="E69" s="202">
        <v>6732.22</v>
      </c>
      <c r="F69" s="202">
        <v>6732.22</v>
      </c>
      <c r="G69" s="209">
        <v>6732.22</v>
      </c>
      <c r="H69" s="215">
        <v>0</v>
      </c>
      <c r="I69" s="209">
        <v>0</v>
      </c>
      <c r="J69" s="209">
        <v>0</v>
      </c>
      <c r="K69" s="296">
        <f t="shared" si="1"/>
        <v>100</v>
      </c>
    </row>
    <row r="70" spans="1:11" s="72" customFormat="1" ht="33" customHeight="1">
      <c r="A70" s="149">
        <v>756</v>
      </c>
      <c r="B70" s="146"/>
      <c r="C70" s="146"/>
      <c r="D70" s="147" t="s">
        <v>61</v>
      </c>
      <c r="E70" s="201">
        <f>E71+E76</f>
        <v>6477887</v>
      </c>
      <c r="F70" s="346">
        <f t="shared" si="2"/>
        <v>3169768.21</v>
      </c>
      <c r="G70" s="208">
        <f>G71+G76</f>
        <v>3169768.21</v>
      </c>
      <c r="H70" s="208">
        <f>H71+H76</f>
        <v>0</v>
      </c>
      <c r="I70" s="208">
        <v>0</v>
      </c>
      <c r="J70" s="208">
        <v>0</v>
      </c>
      <c r="K70" s="297">
        <f t="shared" si="1"/>
        <v>48.932131881892971</v>
      </c>
    </row>
    <row r="71" spans="1:11" s="72" customFormat="1" ht="22.5" customHeight="1">
      <c r="A71" s="502" t="s">
        <v>12</v>
      </c>
      <c r="B71" s="180">
        <v>75618</v>
      </c>
      <c r="C71" s="180"/>
      <c r="D71" s="159" t="s">
        <v>165</v>
      </c>
      <c r="E71" s="205">
        <f>SUM(E72:E75)</f>
        <v>1180660</v>
      </c>
      <c r="F71" s="205">
        <f t="shared" si="2"/>
        <v>856565.24</v>
      </c>
      <c r="G71" s="213">
        <f>SUM(G72:G75)</f>
        <v>856565.24</v>
      </c>
      <c r="H71" s="347">
        <v>0</v>
      </c>
      <c r="I71" s="209">
        <v>0</v>
      </c>
      <c r="J71" s="209">
        <v>0</v>
      </c>
      <c r="K71" s="296">
        <f t="shared" si="1"/>
        <v>72.549695932783351</v>
      </c>
    </row>
    <row r="72" spans="1:11" s="72" customFormat="1" ht="12">
      <c r="A72" s="503"/>
      <c r="B72" s="513"/>
      <c r="C72" s="150" t="s">
        <v>18</v>
      </c>
      <c r="D72" s="151" t="s">
        <v>19</v>
      </c>
      <c r="E72" s="203">
        <v>725660</v>
      </c>
      <c r="F72" s="210">
        <v>373740.25</v>
      </c>
      <c r="G72" s="210">
        <v>373740.25</v>
      </c>
      <c r="H72" s="215">
        <v>0</v>
      </c>
      <c r="I72" s="209">
        <v>0</v>
      </c>
      <c r="J72" s="209">
        <v>0</v>
      </c>
      <c r="K72" s="296">
        <f t="shared" si="1"/>
        <v>51.503493371551414</v>
      </c>
    </row>
    <row r="73" spans="1:11" s="72" customFormat="1" ht="22.5" customHeight="1">
      <c r="A73" s="503"/>
      <c r="B73" s="514"/>
      <c r="C73" s="150" t="s">
        <v>166</v>
      </c>
      <c r="D73" s="151" t="s">
        <v>203</v>
      </c>
      <c r="E73" s="203">
        <v>450000</v>
      </c>
      <c r="F73" s="210">
        <v>474615.03999999998</v>
      </c>
      <c r="G73" s="210">
        <v>474615.03999999998</v>
      </c>
      <c r="H73" s="215">
        <v>0</v>
      </c>
      <c r="I73" s="209">
        <v>0</v>
      </c>
      <c r="J73" s="209">
        <v>0</v>
      </c>
      <c r="K73" s="296">
        <f t="shared" si="1"/>
        <v>105.47000888888888</v>
      </c>
    </row>
    <row r="74" spans="1:11" s="72" customFormat="1" ht="12">
      <c r="A74" s="503"/>
      <c r="B74" s="514"/>
      <c r="C74" s="150" t="s">
        <v>37</v>
      </c>
      <c r="D74" s="466" t="s">
        <v>38</v>
      </c>
      <c r="E74" s="203">
        <v>5000</v>
      </c>
      <c r="F74" s="210">
        <v>8011</v>
      </c>
      <c r="G74" s="210">
        <v>8011</v>
      </c>
      <c r="H74" s="293">
        <v>0</v>
      </c>
      <c r="I74" s="209">
        <v>0</v>
      </c>
      <c r="J74" s="209">
        <v>0</v>
      </c>
      <c r="K74" s="296">
        <f t="shared" si="1"/>
        <v>160.22</v>
      </c>
    </row>
    <row r="75" spans="1:11" s="72" customFormat="1" ht="13.5" customHeight="1">
      <c r="A75" s="503"/>
      <c r="B75" s="515"/>
      <c r="C75" s="153" t="s">
        <v>184</v>
      </c>
      <c r="D75" s="115" t="s">
        <v>187</v>
      </c>
      <c r="E75" s="203">
        <v>0</v>
      </c>
      <c r="F75" s="210">
        <v>198.95</v>
      </c>
      <c r="G75" s="210">
        <v>198.95</v>
      </c>
      <c r="H75" s="215">
        <v>0</v>
      </c>
      <c r="I75" s="209">
        <v>0</v>
      </c>
      <c r="J75" s="209">
        <v>0</v>
      </c>
      <c r="K75" s="296"/>
    </row>
    <row r="76" spans="1:11" s="72" customFormat="1" ht="22.5">
      <c r="A76" s="503"/>
      <c r="B76" s="193">
        <v>75622</v>
      </c>
      <c r="C76" s="174"/>
      <c r="D76" s="462" t="s">
        <v>79</v>
      </c>
      <c r="E76" s="204">
        <f>E77+E78</f>
        <v>5297227</v>
      </c>
      <c r="F76" s="202">
        <f t="shared" ref="F76:F136" si="13">G76+I76</f>
        <v>2313202.9700000002</v>
      </c>
      <c r="G76" s="211">
        <f>G77+G78</f>
        <v>2313202.9700000002</v>
      </c>
      <c r="H76" s="215">
        <v>0</v>
      </c>
      <c r="I76" s="209">
        <v>0</v>
      </c>
      <c r="J76" s="209">
        <v>0</v>
      </c>
      <c r="K76" s="296">
        <f t="shared" ref="K76:K141" si="14">(G76+I76)/E76*100</f>
        <v>43.66818658139438</v>
      </c>
    </row>
    <row r="77" spans="1:11" s="72" customFormat="1" ht="12">
      <c r="A77" s="503"/>
      <c r="B77" s="516"/>
      <c r="C77" s="144" t="s">
        <v>16</v>
      </c>
      <c r="D77" s="466" t="s">
        <v>15</v>
      </c>
      <c r="E77" s="202">
        <v>5177227</v>
      </c>
      <c r="F77" s="209">
        <v>2189656</v>
      </c>
      <c r="G77" s="209">
        <v>2189656</v>
      </c>
      <c r="H77" s="215">
        <v>0</v>
      </c>
      <c r="I77" s="209">
        <v>0</v>
      </c>
      <c r="J77" s="209">
        <v>0</v>
      </c>
      <c r="K77" s="296">
        <f t="shared" si="14"/>
        <v>42.29399251761609</v>
      </c>
    </row>
    <row r="78" spans="1:11" s="72" customFormat="1" ht="12">
      <c r="A78" s="503"/>
      <c r="B78" s="517"/>
      <c r="C78" s="144" t="s">
        <v>52</v>
      </c>
      <c r="D78" s="466" t="s">
        <v>53</v>
      </c>
      <c r="E78" s="202">
        <v>120000</v>
      </c>
      <c r="F78" s="209">
        <v>123546.97</v>
      </c>
      <c r="G78" s="209">
        <v>123546.97</v>
      </c>
      <c r="H78" s="215">
        <v>0</v>
      </c>
      <c r="I78" s="209">
        <v>0</v>
      </c>
      <c r="J78" s="209">
        <v>0</v>
      </c>
      <c r="K78" s="296">
        <f t="shared" si="14"/>
        <v>102.95580833333334</v>
      </c>
    </row>
    <row r="79" spans="1:11" s="72" customFormat="1" ht="12">
      <c r="A79" s="154">
        <v>758</v>
      </c>
      <c r="B79" s="146"/>
      <c r="C79" s="145"/>
      <c r="D79" s="464" t="s">
        <v>33</v>
      </c>
      <c r="E79" s="201">
        <f>E80+E84+E86+E88+E82</f>
        <v>27378432</v>
      </c>
      <c r="F79" s="346">
        <f t="shared" si="13"/>
        <v>15869489.859999999</v>
      </c>
      <c r="G79" s="208">
        <f>G80+G84+G86+G88</f>
        <v>15807289.859999999</v>
      </c>
      <c r="H79" s="208">
        <f>H80+H84+H86+H88</f>
        <v>0</v>
      </c>
      <c r="I79" s="208">
        <f>I82</f>
        <v>62200</v>
      </c>
      <c r="J79" s="208">
        <v>0</v>
      </c>
      <c r="K79" s="297">
        <f t="shared" si="14"/>
        <v>57.963472342024545</v>
      </c>
    </row>
    <row r="80" spans="1:11" s="72" customFormat="1" ht="22.5">
      <c r="A80" s="509"/>
      <c r="B80" s="175">
        <v>75801</v>
      </c>
      <c r="C80" s="144"/>
      <c r="D80" s="115" t="s">
        <v>80</v>
      </c>
      <c r="E80" s="202">
        <f>E81</f>
        <v>18379352</v>
      </c>
      <c r="F80" s="202">
        <f t="shared" si="13"/>
        <v>11310368</v>
      </c>
      <c r="G80" s="209">
        <f>G81</f>
        <v>11310368</v>
      </c>
      <c r="H80" s="215">
        <v>0</v>
      </c>
      <c r="I80" s="209">
        <v>0</v>
      </c>
      <c r="J80" s="209">
        <v>0</v>
      </c>
      <c r="K80" s="296">
        <f t="shared" si="14"/>
        <v>61.538448145505889</v>
      </c>
    </row>
    <row r="81" spans="1:11" s="72" customFormat="1" ht="12">
      <c r="A81" s="509"/>
      <c r="B81" s="175"/>
      <c r="C81" s="175">
        <v>2920</v>
      </c>
      <c r="D81" s="466" t="s">
        <v>17</v>
      </c>
      <c r="E81" s="202">
        <v>18379352</v>
      </c>
      <c r="F81" s="202">
        <f>G81</f>
        <v>11310368</v>
      </c>
      <c r="G81" s="209">
        <v>11310368</v>
      </c>
      <c r="H81" s="293">
        <v>0</v>
      </c>
      <c r="I81" s="209">
        <v>0</v>
      </c>
      <c r="J81" s="209">
        <v>0</v>
      </c>
      <c r="K81" s="296">
        <f t="shared" si="14"/>
        <v>61.538448145505889</v>
      </c>
    </row>
    <row r="82" spans="1:11" s="72" customFormat="1" ht="12">
      <c r="A82" s="509"/>
      <c r="B82" s="363">
        <v>75802</v>
      </c>
      <c r="C82" s="363"/>
      <c r="D82" s="466" t="s">
        <v>313</v>
      </c>
      <c r="E82" s="202">
        <f>E83</f>
        <v>62200</v>
      </c>
      <c r="F82" s="202">
        <f>F83</f>
        <v>62200</v>
      </c>
      <c r="G82" s="209">
        <f>G83</f>
        <v>0</v>
      </c>
      <c r="H82" s="215">
        <v>0</v>
      </c>
      <c r="I82" s="209">
        <v>62200</v>
      </c>
      <c r="J82" s="209">
        <v>0</v>
      </c>
      <c r="K82" s="296">
        <f t="shared" si="14"/>
        <v>100</v>
      </c>
    </row>
    <row r="83" spans="1:11" s="72" customFormat="1" ht="34.5" customHeight="1">
      <c r="A83" s="509"/>
      <c r="B83" s="363"/>
      <c r="C83" s="363">
        <v>6180</v>
      </c>
      <c r="D83" s="115" t="s">
        <v>314</v>
      </c>
      <c r="E83" s="202">
        <v>62200</v>
      </c>
      <c r="F83" s="202">
        <f>I83</f>
        <v>62200</v>
      </c>
      <c r="G83" s="209">
        <v>0</v>
      </c>
      <c r="H83" s="215">
        <v>0</v>
      </c>
      <c r="I83" s="209">
        <v>62200</v>
      </c>
      <c r="J83" s="209">
        <v>0</v>
      </c>
      <c r="K83" s="296">
        <f t="shared" si="14"/>
        <v>100</v>
      </c>
    </row>
    <row r="84" spans="1:11" s="72" customFormat="1" ht="12">
      <c r="A84" s="509"/>
      <c r="B84" s="175">
        <v>75803</v>
      </c>
      <c r="C84" s="144"/>
      <c r="D84" s="466" t="s">
        <v>81</v>
      </c>
      <c r="E84" s="202">
        <f>E85</f>
        <v>6267594</v>
      </c>
      <c r="F84" s="202">
        <f t="shared" si="13"/>
        <v>3133800</v>
      </c>
      <c r="G84" s="209">
        <f>G85</f>
        <v>3133800</v>
      </c>
      <c r="H84" s="293">
        <v>0</v>
      </c>
      <c r="I84" s="209">
        <v>0</v>
      </c>
      <c r="J84" s="209">
        <v>0</v>
      </c>
      <c r="K84" s="296">
        <f t="shared" si="14"/>
        <v>50.000047865257393</v>
      </c>
    </row>
    <row r="85" spans="1:11" s="72" customFormat="1" ht="12">
      <c r="A85" s="509"/>
      <c r="B85" s="175"/>
      <c r="C85" s="175">
        <v>2920</v>
      </c>
      <c r="D85" s="466" t="s">
        <v>17</v>
      </c>
      <c r="E85" s="202">
        <v>6267594</v>
      </c>
      <c r="F85" s="202">
        <f>G85</f>
        <v>3133800</v>
      </c>
      <c r="G85" s="209">
        <v>3133800</v>
      </c>
      <c r="H85" s="215">
        <v>0</v>
      </c>
      <c r="I85" s="209">
        <v>0</v>
      </c>
      <c r="J85" s="209">
        <v>0</v>
      </c>
      <c r="K85" s="296">
        <f t="shared" si="14"/>
        <v>50.000047865257393</v>
      </c>
    </row>
    <row r="86" spans="1:11" s="72" customFormat="1" ht="12">
      <c r="A86" s="509"/>
      <c r="B86" s="175">
        <v>75814</v>
      </c>
      <c r="C86" s="175"/>
      <c r="D86" s="466" t="s">
        <v>82</v>
      </c>
      <c r="E86" s="202">
        <f>E87</f>
        <v>70000</v>
      </c>
      <c r="F86" s="202">
        <f t="shared" si="13"/>
        <v>63479.86</v>
      </c>
      <c r="G86" s="209">
        <f>G87</f>
        <v>63479.86</v>
      </c>
      <c r="H86" s="215">
        <v>0</v>
      </c>
      <c r="I86" s="209">
        <v>0</v>
      </c>
      <c r="J86" s="209">
        <v>0</v>
      </c>
      <c r="K86" s="296">
        <f t="shared" si="14"/>
        <v>90.685514285714291</v>
      </c>
    </row>
    <row r="87" spans="1:11" s="72" customFormat="1" ht="12">
      <c r="A87" s="509"/>
      <c r="B87" s="175"/>
      <c r="C87" s="144" t="s">
        <v>49</v>
      </c>
      <c r="D87" s="466" t="s">
        <v>59</v>
      </c>
      <c r="E87" s="202">
        <v>70000</v>
      </c>
      <c r="F87" s="202">
        <f>G87</f>
        <v>63479.86</v>
      </c>
      <c r="G87" s="209">
        <v>63479.86</v>
      </c>
      <c r="H87" s="215">
        <v>0</v>
      </c>
      <c r="I87" s="209">
        <v>0</v>
      </c>
      <c r="J87" s="209">
        <v>0</v>
      </c>
      <c r="K87" s="296">
        <f t="shared" si="14"/>
        <v>90.685514285714291</v>
      </c>
    </row>
    <row r="88" spans="1:11" s="72" customFormat="1" ht="12">
      <c r="A88" s="509"/>
      <c r="B88" s="175">
        <v>75832</v>
      </c>
      <c r="C88" s="144"/>
      <c r="D88" s="466" t="s">
        <v>83</v>
      </c>
      <c r="E88" s="202">
        <f>E89</f>
        <v>2599286</v>
      </c>
      <c r="F88" s="202">
        <f t="shared" si="13"/>
        <v>1299642</v>
      </c>
      <c r="G88" s="209">
        <f>G89</f>
        <v>1299642</v>
      </c>
      <c r="H88" s="215">
        <v>0</v>
      </c>
      <c r="I88" s="209">
        <v>0</v>
      </c>
      <c r="J88" s="209">
        <v>0</v>
      </c>
      <c r="K88" s="296">
        <f t="shared" si="14"/>
        <v>49.999961527896509</v>
      </c>
    </row>
    <row r="89" spans="1:11" s="72" customFormat="1" ht="12">
      <c r="A89" s="509"/>
      <c r="B89" s="175"/>
      <c r="C89" s="175">
        <v>2920</v>
      </c>
      <c r="D89" s="466" t="s">
        <v>17</v>
      </c>
      <c r="E89" s="202">
        <v>2599286</v>
      </c>
      <c r="F89" s="202">
        <f>G89</f>
        <v>1299642</v>
      </c>
      <c r="G89" s="209">
        <v>1299642</v>
      </c>
      <c r="H89" s="215">
        <v>0</v>
      </c>
      <c r="I89" s="209">
        <v>0</v>
      </c>
      <c r="J89" s="209">
        <v>0</v>
      </c>
      <c r="K89" s="296">
        <f t="shared" si="14"/>
        <v>49.999961527896509</v>
      </c>
    </row>
    <row r="90" spans="1:11" s="72" customFormat="1" ht="12">
      <c r="A90" s="149">
        <v>801</v>
      </c>
      <c r="B90" s="146"/>
      <c r="C90" s="146"/>
      <c r="D90" s="464" t="s">
        <v>54</v>
      </c>
      <c r="E90" s="201">
        <f>E91+E97+E103+E109+E114+E95</f>
        <v>519174.31</v>
      </c>
      <c r="F90" s="346">
        <f t="shared" si="13"/>
        <v>246072.56999999998</v>
      </c>
      <c r="G90" s="208">
        <f>G91+G97+G103+G109+G114</f>
        <v>246072.56999999998</v>
      </c>
      <c r="H90" s="208">
        <f>H91+H97+H103+H109+H114</f>
        <v>0</v>
      </c>
      <c r="I90" s="208">
        <f>I91+I97+I103+I109+I114</f>
        <v>0</v>
      </c>
      <c r="J90" s="208">
        <f>J91+J97+J103+J109+J114</f>
        <v>0</v>
      </c>
      <c r="K90" s="297">
        <f t="shared" si="14"/>
        <v>47.396907986452561</v>
      </c>
    </row>
    <row r="91" spans="1:11" s="72" customFormat="1" ht="12">
      <c r="A91" s="502"/>
      <c r="B91" s="176">
        <v>80102</v>
      </c>
      <c r="C91" s="175"/>
      <c r="D91" s="466" t="s">
        <v>41</v>
      </c>
      <c r="E91" s="202">
        <f>SUM(E92:E94)</f>
        <v>12300</v>
      </c>
      <c r="F91" s="202">
        <f t="shared" si="13"/>
        <v>15408.77</v>
      </c>
      <c r="G91" s="209">
        <f>SUM(G92:G94)</f>
        <v>15408.77</v>
      </c>
      <c r="H91" s="215">
        <v>0</v>
      </c>
      <c r="I91" s="209">
        <v>0</v>
      </c>
      <c r="J91" s="209">
        <v>0</v>
      </c>
      <c r="K91" s="296">
        <f t="shared" si="14"/>
        <v>125.27455284552846</v>
      </c>
    </row>
    <row r="92" spans="1:11" s="72" customFormat="1" ht="33.75" customHeight="1">
      <c r="A92" s="503"/>
      <c r="B92" s="506"/>
      <c r="C92" s="144" t="s">
        <v>21</v>
      </c>
      <c r="D92" s="115" t="s">
        <v>163</v>
      </c>
      <c r="E92" s="202">
        <v>2800</v>
      </c>
      <c r="F92" s="209">
        <v>4030</v>
      </c>
      <c r="G92" s="209">
        <v>4030</v>
      </c>
      <c r="H92" s="215">
        <v>0</v>
      </c>
      <c r="I92" s="209">
        <v>0</v>
      </c>
      <c r="J92" s="209">
        <v>0</v>
      </c>
      <c r="K92" s="296">
        <f t="shared" si="14"/>
        <v>143.92857142857142</v>
      </c>
    </row>
    <row r="93" spans="1:11" s="72" customFormat="1" ht="12">
      <c r="A93" s="503"/>
      <c r="B93" s="507"/>
      <c r="C93" s="144" t="s">
        <v>49</v>
      </c>
      <c r="D93" s="115" t="s">
        <v>59</v>
      </c>
      <c r="E93" s="202">
        <v>500</v>
      </c>
      <c r="F93" s="209">
        <v>287.61</v>
      </c>
      <c r="G93" s="209">
        <v>287.61</v>
      </c>
      <c r="H93" s="215">
        <v>0</v>
      </c>
      <c r="I93" s="209">
        <v>0</v>
      </c>
      <c r="J93" s="209">
        <v>0</v>
      </c>
      <c r="K93" s="296">
        <f t="shared" si="14"/>
        <v>57.522000000000006</v>
      </c>
    </row>
    <row r="94" spans="1:11" s="72" customFormat="1" ht="12">
      <c r="A94" s="503"/>
      <c r="B94" s="507"/>
      <c r="C94" s="144" t="s">
        <v>56</v>
      </c>
      <c r="D94" s="115" t="s">
        <v>58</v>
      </c>
      <c r="E94" s="202">
        <v>9000</v>
      </c>
      <c r="F94" s="209">
        <v>11091.16</v>
      </c>
      <c r="G94" s="209">
        <v>11091.16</v>
      </c>
      <c r="H94" s="215">
        <v>0</v>
      </c>
      <c r="I94" s="209">
        <v>0</v>
      </c>
      <c r="J94" s="209">
        <v>0</v>
      </c>
      <c r="K94" s="296">
        <f t="shared" si="14"/>
        <v>123.23511111111112</v>
      </c>
    </row>
    <row r="95" spans="1:11" s="72" customFormat="1" ht="12">
      <c r="A95" s="503"/>
      <c r="B95" s="425">
        <v>80111</v>
      </c>
      <c r="C95" s="144"/>
      <c r="D95" s="115" t="s">
        <v>111</v>
      </c>
      <c r="E95" s="202">
        <f>E96</f>
        <v>162900.56</v>
      </c>
      <c r="F95" s="202">
        <f t="shared" si="13"/>
        <v>0</v>
      </c>
      <c r="G95" s="209">
        <v>0</v>
      </c>
      <c r="H95" s="215">
        <v>0</v>
      </c>
      <c r="I95" s="209">
        <v>0</v>
      </c>
      <c r="J95" s="209">
        <v>0</v>
      </c>
      <c r="K95" s="296">
        <f t="shared" si="14"/>
        <v>0</v>
      </c>
    </row>
    <row r="96" spans="1:11" s="72" customFormat="1" ht="44.25" customHeight="1">
      <c r="A96" s="503"/>
      <c r="B96" s="424"/>
      <c r="C96" s="144">
        <v>6207</v>
      </c>
      <c r="D96" s="115" t="s">
        <v>294</v>
      </c>
      <c r="E96" s="202">
        <v>162900.56</v>
      </c>
      <c r="F96" s="202">
        <v>0</v>
      </c>
      <c r="G96" s="209">
        <v>0</v>
      </c>
      <c r="H96" s="215">
        <v>0</v>
      </c>
      <c r="I96" s="209">
        <v>0</v>
      </c>
      <c r="J96" s="209">
        <v>0</v>
      </c>
      <c r="K96" s="296">
        <f t="shared" si="14"/>
        <v>0</v>
      </c>
    </row>
    <row r="97" spans="1:11" s="72" customFormat="1" ht="12">
      <c r="A97" s="503"/>
      <c r="B97" s="176">
        <v>80120</v>
      </c>
      <c r="C97" s="175"/>
      <c r="D97" s="466" t="s">
        <v>47</v>
      </c>
      <c r="E97" s="205">
        <f>SUM(E98:E102)</f>
        <v>68539.010000000009</v>
      </c>
      <c r="F97" s="205">
        <f t="shared" si="13"/>
        <v>43515.27</v>
      </c>
      <c r="G97" s="205">
        <f>SUM(G98:G102)</f>
        <v>43515.27</v>
      </c>
      <c r="H97" s="215">
        <v>0</v>
      </c>
      <c r="I97" s="212">
        <f>SUM(I98:I102)</f>
        <v>0</v>
      </c>
      <c r="J97" s="212">
        <f>SUM(J98:J102)</f>
        <v>0</v>
      </c>
      <c r="K97" s="296">
        <f t="shared" si="14"/>
        <v>63.489784868500422</v>
      </c>
    </row>
    <row r="98" spans="1:11" s="72" customFormat="1" ht="13.5" customHeight="1">
      <c r="A98" s="503"/>
      <c r="B98" s="502"/>
      <c r="C98" s="144" t="s">
        <v>37</v>
      </c>
      <c r="D98" s="466" t="s">
        <v>38</v>
      </c>
      <c r="E98" s="202">
        <v>599.69000000000005</v>
      </c>
      <c r="F98" s="202">
        <f>G98:G99</f>
        <v>298.25</v>
      </c>
      <c r="G98" s="205">
        <v>298.25</v>
      </c>
      <c r="H98" s="215">
        <v>0</v>
      </c>
      <c r="I98" s="209">
        <v>0</v>
      </c>
      <c r="J98" s="209">
        <v>0</v>
      </c>
      <c r="K98" s="296">
        <f t="shared" si="14"/>
        <v>49.734029248445026</v>
      </c>
    </row>
    <row r="99" spans="1:11" s="72" customFormat="1" ht="32.25" customHeight="1">
      <c r="A99" s="503"/>
      <c r="B99" s="503"/>
      <c r="C99" s="144" t="s">
        <v>21</v>
      </c>
      <c r="D99" s="115" t="s">
        <v>163</v>
      </c>
      <c r="E99" s="202">
        <v>60629.919999999998</v>
      </c>
      <c r="F99" s="202">
        <f t="shared" ref="F99:F102" si="15">G99:G100</f>
        <v>34810.39</v>
      </c>
      <c r="G99" s="205">
        <v>34810.39</v>
      </c>
      <c r="H99" s="215">
        <v>0</v>
      </c>
      <c r="I99" s="209">
        <v>0</v>
      </c>
      <c r="J99" s="209">
        <v>0</v>
      </c>
      <c r="K99" s="296">
        <f t="shared" si="14"/>
        <v>57.414540543678761</v>
      </c>
    </row>
    <row r="100" spans="1:11" s="72" customFormat="1" ht="12.75" customHeight="1">
      <c r="A100" s="503"/>
      <c r="B100" s="503"/>
      <c r="C100" s="144" t="s">
        <v>55</v>
      </c>
      <c r="D100" s="115" t="s">
        <v>57</v>
      </c>
      <c r="E100" s="202">
        <v>620</v>
      </c>
      <c r="F100" s="202">
        <f t="shared" si="15"/>
        <v>561.6</v>
      </c>
      <c r="G100" s="205">
        <v>561.6</v>
      </c>
      <c r="H100" s="215">
        <v>0</v>
      </c>
      <c r="I100" s="209">
        <v>0</v>
      </c>
      <c r="J100" s="209">
        <v>0</v>
      </c>
      <c r="K100" s="296">
        <f t="shared" si="14"/>
        <v>90.580645161290334</v>
      </c>
    </row>
    <row r="101" spans="1:11" s="72" customFormat="1" ht="12">
      <c r="A101" s="503"/>
      <c r="B101" s="503"/>
      <c r="C101" s="144" t="s">
        <v>49</v>
      </c>
      <c r="D101" s="115" t="s">
        <v>59</v>
      </c>
      <c r="E101" s="202">
        <v>1014.4</v>
      </c>
      <c r="F101" s="202">
        <f t="shared" si="15"/>
        <v>528.79</v>
      </c>
      <c r="G101" s="205">
        <v>528.79</v>
      </c>
      <c r="H101" s="293">
        <v>0</v>
      </c>
      <c r="I101" s="209">
        <v>0</v>
      </c>
      <c r="J101" s="209">
        <v>0</v>
      </c>
      <c r="K101" s="296">
        <f t="shared" si="14"/>
        <v>52.128351735015762</v>
      </c>
    </row>
    <row r="102" spans="1:11" s="72" customFormat="1" ht="12.75" customHeight="1">
      <c r="A102" s="503"/>
      <c r="B102" s="504"/>
      <c r="C102" s="144" t="s">
        <v>56</v>
      </c>
      <c r="D102" s="115" t="s">
        <v>58</v>
      </c>
      <c r="E102" s="202">
        <v>5675</v>
      </c>
      <c r="F102" s="202">
        <f t="shared" si="15"/>
        <v>7316.24</v>
      </c>
      <c r="G102" s="205">
        <v>7316.24</v>
      </c>
      <c r="H102" s="215">
        <v>0</v>
      </c>
      <c r="I102" s="209">
        <v>0</v>
      </c>
      <c r="J102" s="209">
        <v>0</v>
      </c>
      <c r="K102" s="296">
        <f t="shared" si="14"/>
        <v>128.92052863436123</v>
      </c>
    </row>
    <row r="103" spans="1:11" s="72" customFormat="1" ht="14.25" customHeight="1">
      <c r="A103" s="503"/>
      <c r="B103" s="425">
        <v>80130</v>
      </c>
      <c r="C103" s="175"/>
      <c r="D103" s="466" t="s">
        <v>43</v>
      </c>
      <c r="E103" s="205">
        <f>SUM(E104:E108)</f>
        <v>75864.740000000005</v>
      </c>
      <c r="F103" s="205">
        <f t="shared" si="13"/>
        <v>42342.41</v>
      </c>
      <c r="G103" s="213">
        <f>SUM(G104:G108)</f>
        <v>42342.41</v>
      </c>
      <c r="H103" s="215">
        <v>0</v>
      </c>
      <c r="I103" s="209">
        <v>0</v>
      </c>
      <c r="J103" s="209">
        <v>0</v>
      </c>
      <c r="K103" s="296">
        <f t="shared" si="14"/>
        <v>55.813029873957255</v>
      </c>
    </row>
    <row r="104" spans="1:11" s="72" customFormat="1" ht="12">
      <c r="A104" s="503"/>
      <c r="B104" s="507"/>
      <c r="C104" s="152" t="s">
        <v>37</v>
      </c>
      <c r="D104" s="466" t="s">
        <v>38</v>
      </c>
      <c r="E104" s="202">
        <v>1691.31</v>
      </c>
      <c r="F104" s="202">
        <f t="shared" si="13"/>
        <v>2789.14</v>
      </c>
      <c r="G104" s="209">
        <v>2789.14</v>
      </c>
      <c r="H104" s="215">
        <v>0</v>
      </c>
      <c r="I104" s="209">
        <v>0</v>
      </c>
      <c r="J104" s="209">
        <v>0</v>
      </c>
      <c r="K104" s="296">
        <f t="shared" si="14"/>
        <v>164.91004014639537</v>
      </c>
    </row>
    <row r="105" spans="1:11" s="72" customFormat="1" ht="36" customHeight="1">
      <c r="A105" s="503"/>
      <c r="B105" s="507"/>
      <c r="C105" s="152" t="s">
        <v>21</v>
      </c>
      <c r="D105" s="115" t="s">
        <v>163</v>
      </c>
      <c r="E105" s="202">
        <v>50972.08</v>
      </c>
      <c r="F105" s="202">
        <f t="shared" si="13"/>
        <v>24079.71</v>
      </c>
      <c r="G105" s="209">
        <v>24079.71</v>
      </c>
      <c r="H105" s="215">
        <v>0</v>
      </c>
      <c r="I105" s="209">
        <v>0</v>
      </c>
      <c r="J105" s="209">
        <v>0</v>
      </c>
      <c r="K105" s="296">
        <f t="shared" si="14"/>
        <v>47.240979767747362</v>
      </c>
    </row>
    <row r="106" spans="1:11" s="72" customFormat="1" ht="12">
      <c r="A106" s="503"/>
      <c r="B106" s="507"/>
      <c r="C106" s="152" t="s">
        <v>55</v>
      </c>
      <c r="D106" s="115" t="s">
        <v>57</v>
      </c>
      <c r="E106" s="202">
        <v>10745</v>
      </c>
      <c r="F106" s="202">
        <f t="shared" si="13"/>
        <v>6772.42</v>
      </c>
      <c r="G106" s="209">
        <v>6772.42</v>
      </c>
      <c r="H106" s="215">
        <v>0</v>
      </c>
      <c r="I106" s="209">
        <v>0</v>
      </c>
      <c r="J106" s="209">
        <v>0</v>
      </c>
      <c r="K106" s="296">
        <f t="shared" si="14"/>
        <v>63.028571428571432</v>
      </c>
    </row>
    <row r="107" spans="1:11" s="72" customFormat="1" ht="14.25" customHeight="1">
      <c r="A107" s="503"/>
      <c r="B107" s="507"/>
      <c r="C107" s="152" t="s">
        <v>49</v>
      </c>
      <c r="D107" s="115" t="s">
        <v>59</v>
      </c>
      <c r="E107" s="202">
        <v>2233.35</v>
      </c>
      <c r="F107" s="202">
        <f t="shared" si="13"/>
        <v>1603.12</v>
      </c>
      <c r="G107" s="209">
        <v>1603.12</v>
      </c>
      <c r="H107" s="215">
        <v>0</v>
      </c>
      <c r="I107" s="209">
        <v>0</v>
      </c>
      <c r="J107" s="209">
        <v>0</v>
      </c>
      <c r="K107" s="296">
        <f t="shared" si="14"/>
        <v>71.780956858530914</v>
      </c>
    </row>
    <row r="108" spans="1:11" s="72" customFormat="1" ht="10.5" customHeight="1">
      <c r="A108" s="503"/>
      <c r="B108" s="507"/>
      <c r="C108" s="152" t="s">
        <v>56</v>
      </c>
      <c r="D108" s="115" t="s">
        <v>58</v>
      </c>
      <c r="E108" s="202">
        <v>10223</v>
      </c>
      <c r="F108" s="202">
        <f t="shared" si="13"/>
        <v>7098.02</v>
      </c>
      <c r="G108" s="209">
        <v>7098.02</v>
      </c>
      <c r="H108" s="215">
        <v>0</v>
      </c>
      <c r="I108" s="209">
        <v>0</v>
      </c>
      <c r="J108" s="209">
        <v>0</v>
      </c>
      <c r="K108" s="296">
        <f t="shared" si="14"/>
        <v>69.431869314291305</v>
      </c>
    </row>
    <row r="109" spans="1:11" s="72" customFormat="1" ht="21" customHeight="1">
      <c r="A109" s="503"/>
      <c r="B109" s="425">
        <v>80140</v>
      </c>
      <c r="C109" s="152"/>
      <c r="D109" s="115" t="s">
        <v>168</v>
      </c>
      <c r="E109" s="202">
        <f>E110+E111+E112</f>
        <v>74570</v>
      </c>
      <c r="F109" s="202">
        <f t="shared" si="13"/>
        <v>65503.72</v>
      </c>
      <c r="G109" s="209">
        <f>SUM(G110:G113)</f>
        <v>65503.72</v>
      </c>
      <c r="H109" s="293">
        <v>0</v>
      </c>
      <c r="I109" s="209">
        <v>0</v>
      </c>
      <c r="J109" s="209">
        <v>0</v>
      </c>
      <c r="K109" s="296">
        <f t="shared" si="14"/>
        <v>87.841920343301595</v>
      </c>
    </row>
    <row r="110" spans="1:11" s="72" customFormat="1" ht="33.75" customHeight="1">
      <c r="A110" s="503"/>
      <c r="B110" s="502"/>
      <c r="C110" s="152" t="s">
        <v>21</v>
      </c>
      <c r="D110" s="115" t="s">
        <v>163</v>
      </c>
      <c r="E110" s="202">
        <v>37064</v>
      </c>
      <c r="F110" s="202">
        <f t="shared" si="13"/>
        <v>34916.730000000003</v>
      </c>
      <c r="G110" s="209">
        <v>34916.730000000003</v>
      </c>
      <c r="H110" s="215">
        <v>0</v>
      </c>
      <c r="I110" s="209">
        <v>0</v>
      </c>
      <c r="J110" s="209">
        <v>0</v>
      </c>
      <c r="K110" s="296">
        <f t="shared" si="14"/>
        <v>94.20658860349667</v>
      </c>
    </row>
    <row r="111" spans="1:11" s="72" customFormat="1" ht="12">
      <c r="A111" s="503"/>
      <c r="B111" s="503"/>
      <c r="C111" s="152" t="s">
        <v>55</v>
      </c>
      <c r="D111" s="115" t="s">
        <v>57</v>
      </c>
      <c r="E111" s="202">
        <v>37506</v>
      </c>
      <c r="F111" s="202">
        <f t="shared" si="13"/>
        <v>22044.85</v>
      </c>
      <c r="G111" s="209">
        <v>22044.85</v>
      </c>
      <c r="H111" s="215">
        <v>0</v>
      </c>
      <c r="I111" s="209">
        <v>0</v>
      </c>
      <c r="J111" s="209">
        <v>0</v>
      </c>
      <c r="K111" s="296">
        <f t="shared" si="14"/>
        <v>58.776862368687674</v>
      </c>
    </row>
    <row r="112" spans="1:11" s="72" customFormat="1" ht="12">
      <c r="A112" s="503"/>
      <c r="B112" s="503"/>
      <c r="C112" s="152" t="s">
        <v>49</v>
      </c>
      <c r="D112" s="115" t="s">
        <v>59</v>
      </c>
      <c r="E112" s="202">
        <v>0</v>
      </c>
      <c r="F112" s="202">
        <f t="shared" si="13"/>
        <v>575.65</v>
      </c>
      <c r="G112" s="209">
        <v>575.65</v>
      </c>
      <c r="H112" s="215">
        <v>0</v>
      </c>
      <c r="I112" s="209">
        <v>0</v>
      </c>
      <c r="J112" s="209">
        <v>0</v>
      </c>
      <c r="K112" s="296"/>
    </row>
    <row r="113" spans="1:11" s="72" customFormat="1" ht="12">
      <c r="A113" s="503"/>
      <c r="B113" s="504"/>
      <c r="C113" s="152" t="s">
        <v>56</v>
      </c>
      <c r="D113" s="115" t="s">
        <v>58</v>
      </c>
      <c r="E113" s="202">
        <v>0</v>
      </c>
      <c r="F113" s="202">
        <f>G113</f>
        <v>7966.49</v>
      </c>
      <c r="G113" s="209">
        <v>7966.49</v>
      </c>
      <c r="H113" s="215">
        <v>0</v>
      </c>
      <c r="I113" s="209">
        <v>0</v>
      </c>
      <c r="J113" s="209">
        <v>0</v>
      </c>
      <c r="K113" s="296"/>
    </row>
    <row r="114" spans="1:11" s="72" customFormat="1" ht="12">
      <c r="A114" s="503"/>
      <c r="B114" s="193">
        <v>80148</v>
      </c>
      <c r="C114" s="152"/>
      <c r="D114" s="115" t="s">
        <v>287</v>
      </c>
      <c r="E114" s="202">
        <f>E115</f>
        <v>125000</v>
      </c>
      <c r="F114" s="202">
        <f t="shared" si="13"/>
        <v>79302.399999999994</v>
      </c>
      <c r="G114" s="209">
        <f>G115</f>
        <v>79302.399999999994</v>
      </c>
      <c r="H114" s="293">
        <v>0</v>
      </c>
      <c r="I114" s="209">
        <v>0</v>
      </c>
      <c r="J114" s="209">
        <v>0</v>
      </c>
      <c r="K114" s="296">
        <f t="shared" si="14"/>
        <v>63.441919999999996</v>
      </c>
    </row>
    <row r="115" spans="1:11" s="72" customFormat="1" ht="12">
      <c r="A115" s="504"/>
      <c r="B115" s="174"/>
      <c r="C115" s="152" t="s">
        <v>55</v>
      </c>
      <c r="D115" s="115" t="s">
        <v>57</v>
      </c>
      <c r="E115" s="202">
        <v>125000</v>
      </c>
      <c r="F115" s="202">
        <f t="shared" si="13"/>
        <v>79302.399999999994</v>
      </c>
      <c r="G115" s="209">
        <v>79302.399999999994</v>
      </c>
      <c r="H115" s="215">
        <v>0</v>
      </c>
      <c r="I115" s="209">
        <v>0</v>
      </c>
      <c r="J115" s="209">
        <v>0</v>
      </c>
      <c r="K115" s="296">
        <f t="shared" si="14"/>
        <v>63.441919999999996</v>
      </c>
    </row>
    <row r="116" spans="1:11" s="72" customFormat="1" ht="12">
      <c r="A116" s="366">
        <v>851</v>
      </c>
      <c r="B116" s="146"/>
      <c r="C116" s="146"/>
      <c r="D116" s="147" t="s">
        <v>34</v>
      </c>
      <c r="E116" s="201">
        <f>E121+E117+E119</f>
        <v>2637931.41</v>
      </c>
      <c r="F116" s="346">
        <f t="shared" si="13"/>
        <v>1843176.4100000001</v>
      </c>
      <c r="G116" s="201">
        <f>G121+G117+G119</f>
        <v>1282245</v>
      </c>
      <c r="H116" s="201">
        <f>H121+H117+H119</f>
        <v>0</v>
      </c>
      <c r="I116" s="201">
        <f>I121+I117+I119</f>
        <v>560931.41</v>
      </c>
      <c r="J116" s="201">
        <f>J121+J117+J119</f>
        <v>0</v>
      </c>
      <c r="K116" s="297">
        <f t="shared" si="14"/>
        <v>69.872036968542716</v>
      </c>
    </row>
    <row r="117" spans="1:11" s="72" customFormat="1" ht="12.75" customHeight="1">
      <c r="A117" s="520" t="s">
        <v>12</v>
      </c>
      <c r="B117" s="180">
        <v>85111</v>
      </c>
      <c r="C117" s="180"/>
      <c r="D117" s="467" t="s">
        <v>85</v>
      </c>
      <c r="E117" s="205">
        <f>E118</f>
        <v>560931.41</v>
      </c>
      <c r="F117" s="205">
        <f t="shared" ref="F117:J117" si="16">F118</f>
        <v>560931.41</v>
      </c>
      <c r="G117" s="205">
        <f t="shared" si="16"/>
        <v>0</v>
      </c>
      <c r="H117" s="205">
        <f t="shared" si="16"/>
        <v>0</v>
      </c>
      <c r="I117" s="205">
        <f t="shared" si="16"/>
        <v>560931.41</v>
      </c>
      <c r="J117" s="205">
        <f t="shared" si="16"/>
        <v>0</v>
      </c>
      <c r="K117" s="296">
        <f t="shared" si="14"/>
        <v>100</v>
      </c>
    </row>
    <row r="118" spans="1:11" s="72" customFormat="1" ht="33.75" customHeight="1">
      <c r="A118" s="521"/>
      <c r="B118" s="423"/>
      <c r="C118" s="180">
        <v>6620</v>
      </c>
      <c r="D118" s="115" t="s">
        <v>315</v>
      </c>
      <c r="E118" s="205">
        <v>560931.41</v>
      </c>
      <c r="F118" s="202">
        <f>G118+I118</f>
        <v>560931.41</v>
      </c>
      <c r="G118" s="213">
        <v>0</v>
      </c>
      <c r="H118" s="215">
        <v>0</v>
      </c>
      <c r="I118" s="213">
        <v>560931.41</v>
      </c>
      <c r="J118" s="213">
        <v>0</v>
      </c>
      <c r="K118" s="296">
        <f t="shared" si="14"/>
        <v>100</v>
      </c>
    </row>
    <row r="119" spans="1:11" s="72" customFormat="1" ht="12.75" customHeight="1">
      <c r="A119" s="521"/>
      <c r="B119" s="180">
        <v>85132</v>
      </c>
      <c r="C119" s="180"/>
      <c r="D119" s="115" t="s">
        <v>288</v>
      </c>
      <c r="E119" s="205">
        <f>E120</f>
        <v>1000</v>
      </c>
      <c r="F119" s="202">
        <f t="shared" si="13"/>
        <v>1000</v>
      </c>
      <c r="G119" s="213">
        <f>G120</f>
        <v>1000</v>
      </c>
      <c r="H119" s="215">
        <v>0</v>
      </c>
      <c r="I119" s="213">
        <v>0</v>
      </c>
      <c r="J119" s="213">
        <v>0</v>
      </c>
      <c r="K119" s="296">
        <f t="shared" si="14"/>
        <v>100</v>
      </c>
    </row>
    <row r="120" spans="1:11" s="72" customFormat="1" ht="33.75">
      <c r="A120" s="521"/>
      <c r="B120" s="368"/>
      <c r="C120" s="180">
        <v>2710</v>
      </c>
      <c r="D120" s="115" t="s">
        <v>291</v>
      </c>
      <c r="E120" s="205">
        <v>1000</v>
      </c>
      <c r="F120" s="202">
        <f t="shared" si="13"/>
        <v>1000</v>
      </c>
      <c r="G120" s="213">
        <v>1000</v>
      </c>
      <c r="H120" s="215">
        <v>0</v>
      </c>
      <c r="I120" s="213">
        <v>0</v>
      </c>
      <c r="J120" s="213">
        <v>0</v>
      </c>
      <c r="K120" s="296">
        <f t="shared" si="14"/>
        <v>100</v>
      </c>
    </row>
    <row r="121" spans="1:11" s="72" customFormat="1" ht="22.5">
      <c r="A121" s="521"/>
      <c r="B121" s="175">
        <v>85156</v>
      </c>
      <c r="C121" s="175"/>
      <c r="D121" s="468" t="s">
        <v>87</v>
      </c>
      <c r="E121" s="202">
        <f>E122</f>
        <v>2076000</v>
      </c>
      <c r="F121" s="202">
        <f t="shared" si="13"/>
        <v>1281245</v>
      </c>
      <c r="G121" s="209">
        <f>G122</f>
        <v>1281245</v>
      </c>
      <c r="H121" s="215">
        <v>0</v>
      </c>
      <c r="I121" s="209">
        <v>0</v>
      </c>
      <c r="J121" s="209">
        <v>0</v>
      </c>
      <c r="K121" s="296">
        <f t="shared" si="14"/>
        <v>61.717003853564542</v>
      </c>
    </row>
    <row r="122" spans="1:11" s="72" customFormat="1" ht="12.75" customHeight="1">
      <c r="A122" s="522"/>
      <c r="B122" s="175"/>
      <c r="C122" s="175">
        <v>2110</v>
      </c>
      <c r="D122" s="115" t="s">
        <v>65</v>
      </c>
      <c r="E122" s="202">
        <v>2076000</v>
      </c>
      <c r="F122" s="202">
        <f t="shared" si="13"/>
        <v>1281245</v>
      </c>
      <c r="G122" s="209">
        <v>1281245</v>
      </c>
      <c r="H122" s="215">
        <v>0</v>
      </c>
      <c r="I122" s="209">
        <v>0</v>
      </c>
      <c r="J122" s="209">
        <v>0</v>
      </c>
      <c r="K122" s="296">
        <f t="shared" si="14"/>
        <v>61.717003853564542</v>
      </c>
    </row>
    <row r="123" spans="1:11" s="72" customFormat="1" ht="12">
      <c r="A123" s="367">
        <v>852</v>
      </c>
      <c r="B123" s="146"/>
      <c r="C123" s="146"/>
      <c r="D123" s="147" t="s">
        <v>35</v>
      </c>
      <c r="E123" s="201">
        <f>E124+E132+E135+E141+E150+E155+E148</f>
        <v>5967731.3600000003</v>
      </c>
      <c r="F123" s="346">
        <f t="shared" si="13"/>
        <v>2995144.1229999997</v>
      </c>
      <c r="G123" s="208">
        <f>G124+G132+G135+G141+G150+G155+G148</f>
        <v>2994368.1229999997</v>
      </c>
      <c r="H123" s="208">
        <f t="shared" ref="H123:I123" si="17">H124+H132+H135+H141+H150+H155+H148</f>
        <v>0</v>
      </c>
      <c r="I123" s="208">
        <f t="shared" si="17"/>
        <v>776</v>
      </c>
      <c r="J123" s="208">
        <v>0</v>
      </c>
      <c r="K123" s="297">
        <f t="shared" si="14"/>
        <v>50.188990460857461</v>
      </c>
    </row>
    <row r="124" spans="1:11" s="72" customFormat="1" ht="12">
      <c r="A124" s="502"/>
      <c r="B124" s="175">
        <v>85201</v>
      </c>
      <c r="C124" s="175"/>
      <c r="D124" s="115" t="s">
        <v>88</v>
      </c>
      <c r="E124" s="205">
        <f>SUM(E125:E131)</f>
        <v>3432653.16</v>
      </c>
      <c r="F124" s="202">
        <f t="shared" si="13"/>
        <v>1716149.5</v>
      </c>
      <c r="G124" s="213">
        <f>SUM(G125:G131)</f>
        <v>1716149.5</v>
      </c>
      <c r="H124" s="215">
        <v>0</v>
      </c>
      <c r="I124" s="209">
        <v>0</v>
      </c>
      <c r="J124" s="209">
        <v>0</v>
      </c>
      <c r="K124" s="296">
        <f t="shared" si="14"/>
        <v>49.994841308115149</v>
      </c>
    </row>
    <row r="125" spans="1:11" s="72" customFormat="1" ht="12">
      <c r="A125" s="503"/>
      <c r="B125" s="502"/>
      <c r="C125" s="144" t="s">
        <v>129</v>
      </c>
      <c r="D125" s="119" t="s">
        <v>158</v>
      </c>
      <c r="E125" s="202">
        <v>0</v>
      </c>
      <c r="F125" s="202">
        <f t="shared" si="13"/>
        <v>1709.7</v>
      </c>
      <c r="G125" s="209">
        <v>1709.7</v>
      </c>
      <c r="H125" s="215">
        <v>0</v>
      </c>
      <c r="I125" s="209">
        <v>0</v>
      </c>
      <c r="J125" s="209">
        <v>0</v>
      </c>
      <c r="K125" s="296"/>
    </row>
    <row r="126" spans="1:11" s="72" customFormat="1" ht="13.5" customHeight="1">
      <c r="A126" s="503"/>
      <c r="B126" s="503"/>
      <c r="C126" s="144" t="s">
        <v>146</v>
      </c>
      <c r="D126" s="115" t="s">
        <v>155</v>
      </c>
      <c r="E126" s="202">
        <v>3000</v>
      </c>
      <c r="F126" s="202">
        <f t="shared" si="13"/>
        <v>4119.9799999999996</v>
      </c>
      <c r="G126" s="209">
        <v>4119.9799999999996</v>
      </c>
      <c r="H126" s="215">
        <v>0</v>
      </c>
      <c r="I126" s="209">
        <v>0</v>
      </c>
      <c r="J126" s="209">
        <v>0</v>
      </c>
      <c r="K126" s="296">
        <f t="shared" si="14"/>
        <v>137.33266666666665</v>
      </c>
    </row>
    <row r="127" spans="1:11" s="72" customFormat="1" ht="13.5" customHeight="1">
      <c r="A127" s="503"/>
      <c r="B127" s="503"/>
      <c r="C127" s="144" t="s">
        <v>37</v>
      </c>
      <c r="D127" s="465" t="s">
        <v>409</v>
      </c>
      <c r="E127" s="202">
        <v>0</v>
      </c>
      <c r="F127" s="202">
        <f>G127</f>
        <v>8.8000000000000007</v>
      </c>
      <c r="G127" s="209">
        <v>8.8000000000000007</v>
      </c>
      <c r="H127" s="215">
        <v>0</v>
      </c>
      <c r="I127" s="209">
        <v>0</v>
      </c>
      <c r="J127" s="209">
        <v>0</v>
      </c>
      <c r="K127" s="296"/>
    </row>
    <row r="128" spans="1:11" s="72" customFormat="1" ht="12" customHeight="1">
      <c r="A128" s="503"/>
      <c r="B128" s="503"/>
      <c r="C128" s="144" t="s">
        <v>55</v>
      </c>
      <c r="D128" s="115" t="s">
        <v>57</v>
      </c>
      <c r="E128" s="202">
        <v>0</v>
      </c>
      <c r="F128" s="202">
        <f t="shared" si="13"/>
        <v>132.19999999999999</v>
      </c>
      <c r="G128" s="209">
        <v>132.19999999999999</v>
      </c>
      <c r="H128" s="293">
        <v>0</v>
      </c>
      <c r="I128" s="209">
        <v>0</v>
      </c>
      <c r="J128" s="209">
        <v>0</v>
      </c>
      <c r="K128" s="296"/>
    </row>
    <row r="129" spans="1:11" s="72" customFormat="1" ht="12">
      <c r="A129" s="503"/>
      <c r="B129" s="503"/>
      <c r="C129" s="144" t="s">
        <v>49</v>
      </c>
      <c r="D129" s="115" t="s">
        <v>59</v>
      </c>
      <c r="E129" s="202">
        <v>600</v>
      </c>
      <c r="F129" s="202">
        <f t="shared" si="13"/>
        <v>850.36</v>
      </c>
      <c r="G129" s="209">
        <v>850.36</v>
      </c>
      <c r="H129" s="215">
        <v>0</v>
      </c>
      <c r="I129" s="209">
        <v>0</v>
      </c>
      <c r="J129" s="209">
        <v>0</v>
      </c>
      <c r="K129" s="296">
        <f t="shared" si="14"/>
        <v>141.72666666666666</v>
      </c>
    </row>
    <row r="130" spans="1:11" s="72" customFormat="1" ht="15" customHeight="1">
      <c r="A130" s="503"/>
      <c r="B130" s="503"/>
      <c r="C130" s="144" t="s">
        <v>100</v>
      </c>
      <c r="D130" s="115" t="s">
        <v>154</v>
      </c>
      <c r="E130" s="202">
        <v>0</v>
      </c>
      <c r="F130" s="202">
        <f t="shared" si="13"/>
        <v>9.1</v>
      </c>
      <c r="G130" s="209">
        <v>9.1</v>
      </c>
      <c r="H130" s="215">
        <v>0</v>
      </c>
      <c r="I130" s="209">
        <v>0</v>
      </c>
      <c r="J130" s="209">
        <v>0</v>
      </c>
      <c r="K130" s="296"/>
    </row>
    <row r="131" spans="1:11" s="72" customFormat="1" ht="33.75">
      <c r="A131" s="503"/>
      <c r="B131" s="503"/>
      <c r="C131" s="175">
        <v>2320</v>
      </c>
      <c r="D131" s="115" t="s">
        <v>134</v>
      </c>
      <c r="E131" s="202">
        <v>3429053.16</v>
      </c>
      <c r="F131" s="202">
        <f t="shared" si="13"/>
        <v>1709319.36</v>
      </c>
      <c r="G131" s="209">
        <v>1709319.36</v>
      </c>
      <c r="H131" s="215">
        <v>0</v>
      </c>
      <c r="I131" s="209">
        <v>0</v>
      </c>
      <c r="J131" s="209">
        <v>0</v>
      </c>
      <c r="K131" s="296">
        <f t="shared" si="14"/>
        <v>49.84814408651512</v>
      </c>
    </row>
    <row r="132" spans="1:11" s="72" customFormat="1" ht="12.75" customHeight="1">
      <c r="A132" s="503"/>
      <c r="B132" s="175">
        <v>85202</v>
      </c>
      <c r="C132" s="175"/>
      <c r="D132" s="115" t="s">
        <v>89</v>
      </c>
      <c r="E132" s="202">
        <f>E134</f>
        <v>1618000</v>
      </c>
      <c r="F132" s="202">
        <f t="shared" si="13"/>
        <v>755646</v>
      </c>
      <c r="G132" s="209">
        <f>G134+G133</f>
        <v>754870</v>
      </c>
      <c r="H132" s="215">
        <v>0</v>
      </c>
      <c r="I132" s="209">
        <f>I133</f>
        <v>776</v>
      </c>
      <c r="J132" s="209">
        <v>0</v>
      </c>
      <c r="K132" s="296">
        <f t="shared" si="14"/>
        <v>46.702472187886279</v>
      </c>
    </row>
    <row r="133" spans="1:11" s="72" customFormat="1" ht="15" customHeight="1">
      <c r="A133" s="503"/>
      <c r="B133" s="502"/>
      <c r="C133" s="144" t="s">
        <v>185</v>
      </c>
      <c r="D133" s="465" t="s">
        <v>188</v>
      </c>
      <c r="E133" s="202">
        <v>0</v>
      </c>
      <c r="F133" s="202">
        <f>I133</f>
        <v>776</v>
      </c>
      <c r="G133" s="209">
        <v>0</v>
      </c>
      <c r="H133" s="215">
        <v>0</v>
      </c>
      <c r="I133" s="209">
        <v>776</v>
      </c>
      <c r="J133" s="209">
        <v>0</v>
      </c>
      <c r="K133" s="296"/>
    </row>
    <row r="134" spans="1:11" s="72" customFormat="1" ht="22.5">
      <c r="A134" s="503"/>
      <c r="B134" s="504"/>
      <c r="C134" s="175">
        <v>2130</v>
      </c>
      <c r="D134" s="115" t="s">
        <v>25</v>
      </c>
      <c r="E134" s="202">
        <v>1618000</v>
      </c>
      <c r="F134" s="202">
        <f t="shared" si="13"/>
        <v>754870</v>
      </c>
      <c r="G134" s="209">
        <v>754870</v>
      </c>
      <c r="H134" s="215">
        <v>0</v>
      </c>
      <c r="I134" s="209">
        <v>0</v>
      </c>
      <c r="J134" s="209">
        <v>0</v>
      </c>
      <c r="K134" s="296">
        <f t="shared" si="14"/>
        <v>46.65451174289246</v>
      </c>
    </row>
    <row r="135" spans="1:11" s="72" customFormat="1" ht="12">
      <c r="A135" s="503"/>
      <c r="B135" s="175">
        <v>85203</v>
      </c>
      <c r="C135" s="175"/>
      <c r="D135" s="115" t="s">
        <v>90</v>
      </c>
      <c r="E135" s="202">
        <f>E136+E137+E139</f>
        <v>449000</v>
      </c>
      <c r="F135" s="202">
        <f t="shared" si="13"/>
        <v>261398.34</v>
      </c>
      <c r="G135" s="209">
        <f>SUM(G136:G140)</f>
        <v>261398.34</v>
      </c>
      <c r="H135" s="293">
        <v>0</v>
      </c>
      <c r="I135" s="209">
        <v>0</v>
      </c>
      <c r="J135" s="209">
        <v>0</v>
      </c>
      <c r="K135" s="296">
        <f t="shared" si="14"/>
        <v>58.217893095768368</v>
      </c>
    </row>
    <row r="136" spans="1:11" s="72" customFormat="1" ht="36" customHeight="1">
      <c r="A136" s="503"/>
      <c r="B136" s="502"/>
      <c r="C136" s="144" t="s">
        <v>21</v>
      </c>
      <c r="D136" s="115" t="s">
        <v>163</v>
      </c>
      <c r="E136" s="202">
        <v>0</v>
      </c>
      <c r="F136" s="202">
        <f t="shared" si="13"/>
        <v>16870</v>
      </c>
      <c r="G136" s="209">
        <v>16870</v>
      </c>
      <c r="H136" s="215">
        <v>0</v>
      </c>
      <c r="I136" s="209">
        <v>0</v>
      </c>
      <c r="J136" s="209">
        <v>0</v>
      </c>
      <c r="K136" s="296"/>
    </row>
    <row r="137" spans="1:11" s="72" customFormat="1" ht="14.25" customHeight="1">
      <c r="A137" s="503"/>
      <c r="B137" s="503"/>
      <c r="C137" s="144" t="s">
        <v>49</v>
      </c>
      <c r="D137" s="115" t="s">
        <v>59</v>
      </c>
      <c r="E137" s="202">
        <v>0</v>
      </c>
      <c r="F137" s="202">
        <f t="shared" ref="F137:F192" si="18">G137+I137</f>
        <v>233.25</v>
      </c>
      <c r="G137" s="209">
        <v>233.25</v>
      </c>
      <c r="H137" s="215">
        <v>0</v>
      </c>
      <c r="I137" s="202">
        <v>0</v>
      </c>
      <c r="J137" s="202">
        <v>0</v>
      </c>
      <c r="K137" s="296"/>
    </row>
    <row r="138" spans="1:11" s="72" customFormat="1" ht="12">
      <c r="A138" s="503"/>
      <c r="B138" s="503"/>
      <c r="C138" s="144" t="s">
        <v>56</v>
      </c>
      <c r="D138" s="115" t="s">
        <v>58</v>
      </c>
      <c r="E138" s="202">
        <v>0</v>
      </c>
      <c r="F138" s="202">
        <f t="shared" si="18"/>
        <v>3510.32</v>
      </c>
      <c r="G138" s="209">
        <v>3510.32</v>
      </c>
      <c r="H138" s="215">
        <v>0</v>
      </c>
      <c r="I138" s="202">
        <v>0</v>
      </c>
      <c r="J138" s="202">
        <v>0</v>
      </c>
      <c r="K138" s="296"/>
    </row>
    <row r="139" spans="1:11" s="72" customFormat="1" ht="24" customHeight="1">
      <c r="A139" s="503"/>
      <c r="B139" s="503"/>
      <c r="C139" s="175">
        <v>2110</v>
      </c>
      <c r="D139" s="115" t="s">
        <v>65</v>
      </c>
      <c r="E139" s="202">
        <v>449000</v>
      </c>
      <c r="F139" s="202">
        <f t="shared" si="18"/>
        <v>240660</v>
      </c>
      <c r="G139" s="209">
        <v>240660</v>
      </c>
      <c r="H139" s="215">
        <v>0</v>
      </c>
      <c r="I139" s="209">
        <v>0</v>
      </c>
      <c r="J139" s="209">
        <v>0</v>
      </c>
      <c r="K139" s="296">
        <f t="shared" si="14"/>
        <v>53.599109131403125</v>
      </c>
    </row>
    <row r="140" spans="1:11" s="72" customFormat="1" ht="33.75" customHeight="1">
      <c r="A140" s="503"/>
      <c r="B140" s="504"/>
      <c r="C140" s="175">
        <v>2360</v>
      </c>
      <c r="D140" s="115" t="s">
        <v>131</v>
      </c>
      <c r="E140" s="202">
        <v>0</v>
      </c>
      <c r="F140" s="202">
        <f t="shared" si="18"/>
        <v>124.77</v>
      </c>
      <c r="G140" s="209">
        <v>124.77</v>
      </c>
      <c r="H140" s="215">
        <v>0</v>
      </c>
      <c r="I140" s="209">
        <v>0</v>
      </c>
      <c r="J140" s="209">
        <v>0</v>
      </c>
      <c r="K140" s="296"/>
    </row>
    <row r="141" spans="1:11" s="72" customFormat="1" ht="12.75" customHeight="1">
      <c r="A141" s="503"/>
      <c r="B141" s="175">
        <v>85204</v>
      </c>
      <c r="C141" s="175"/>
      <c r="D141" s="115" t="s">
        <v>113</v>
      </c>
      <c r="E141" s="202">
        <f>SUM(E145:E147)</f>
        <v>119800.2</v>
      </c>
      <c r="F141" s="202">
        <f t="shared" si="18"/>
        <v>59228.002999999997</v>
      </c>
      <c r="G141" s="209">
        <f>SUM(G142:G147)</f>
        <v>59228.002999999997</v>
      </c>
      <c r="H141" s="215">
        <v>0</v>
      </c>
      <c r="I141" s="209">
        <v>0</v>
      </c>
      <c r="J141" s="209">
        <v>0</v>
      </c>
      <c r="K141" s="296">
        <f t="shared" si="14"/>
        <v>49.43898507681957</v>
      </c>
    </row>
    <row r="142" spans="1:11" s="72" customFormat="1" ht="12.75" customHeight="1">
      <c r="A142" s="503"/>
      <c r="B142" s="502"/>
      <c r="C142" s="144" t="s">
        <v>146</v>
      </c>
      <c r="D142" s="115" t="s">
        <v>155</v>
      </c>
      <c r="E142" s="202">
        <v>0</v>
      </c>
      <c r="F142" s="202">
        <f t="shared" si="18"/>
        <v>256.54000000000002</v>
      </c>
      <c r="G142" s="209">
        <v>256.54000000000002</v>
      </c>
      <c r="H142" s="293">
        <v>0</v>
      </c>
      <c r="I142" s="209">
        <v>0</v>
      </c>
      <c r="J142" s="209">
        <v>0</v>
      </c>
      <c r="K142" s="296"/>
    </row>
    <row r="143" spans="1:11" s="72" customFormat="1" ht="12.75" customHeight="1">
      <c r="A143" s="503"/>
      <c r="B143" s="503"/>
      <c r="C143" s="144" t="s">
        <v>37</v>
      </c>
      <c r="D143" s="470" t="s">
        <v>409</v>
      </c>
      <c r="E143" s="202">
        <v>0</v>
      </c>
      <c r="F143" s="202">
        <f t="shared" si="18"/>
        <v>8.8000000000000007</v>
      </c>
      <c r="G143" s="209">
        <v>8.8000000000000007</v>
      </c>
      <c r="H143" s="215">
        <v>0</v>
      </c>
      <c r="I143" s="209">
        <v>0</v>
      </c>
      <c r="J143" s="209">
        <v>0</v>
      </c>
      <c r="K143" s="296"/>
    </row>
    <row r="144" spans="1:11" s="72" customFormat="1" ht="12.75" customHeight="1">
      <c r="A144" s="503"/>
      <c r="B144" s="503"/>
      <c r="C144" s="144" t="s">
        <v>49</v>
      </c>
      <c r="D144" s="115" t="s">
        <v>59</v>
      </c>
      <c r="E144" s="202">
        <v>0</v>
      </c>
      <c r="F144" s="202">
        <f t="shared" si="18"/>
        <v>20.49</v>
      </c>
      <c r="G144" s="209">
        <v>20.49</v>
      </c>
      <c r="H144" s="215">
        <v>0</v>
      </c>
      <c r="I144" s="209">
        <v>0</v>
      </c>
      <c r="J144" s="209">
        <v>0</v>
      </c>
      <c r="K144" s="296"/>
    </row>
    <row r="145" spans="1:11" s="72" customFormat="1" ht="12.75" customHeight="1">
      <c r="A145" s="503"/>
      <c r="B145" s="503"/>
      <c r="C145" s="144" t="s">
        <v>56</v>
      </c>
      <c r="D145" s="115" t="s">
        <v>58</v>
      </c>
      <c r="E145" s="202">
        <v>0</v>
      </c>
      <c r="F145" s="202">
        <f t="shared" si="18"/>
        <v>618.12</v>
      </c>
      <c r="G145" s="209">
        <v>618.12</v>
      </c>
      <c r="H145" s="215">
        <v>0</v>
      </c>
      <c r="I145" s="209">
        <v>0</v>
      </c>
      <c r="J145" s="209">
        <v>0</v>
      </c>
      <c r="K145" s="296"/>
    </row>
    <row r="146" spans="1:11" s="72" customFormat="1" ht="23.25" customHeight="1">
      <c r="A146" s="503"/>
      <c r="B146" s="503"/>
      <c r="C146" s="144">
        <v>2320</v>
      </c>
      <c r="D146" s="115" t="s">
        <v>134</v>
      </c>
      <c r="E146" s="202">
        <v>119800.2</v>
      </c>
      <c r="F146" s="202">
        <f t="shared" si="18"/>
        <v>58028.37</v>
      </c>
      <c r="G146" s="209">
        <v>58028.37</v>
      </c>
      <c r="H146" s="215">
        <v>0</v>
      </c>
      <c r="I146" s="209">
        <v>0</v>
      </c>
      <c r="J146" s="209">
        <v>0</v>
      </c>
      <c r="K146" s="296">
        <f t="shared" ref="K146:K193" si="19">(G146+I146)/E146*100</f>
        <v>48.437623643366209</v>
      </c>
    </row>
    <row r="147" spans="1:11" s="72" customFormat="1" ht="33.75">
      <c r="A147" s="503"/>
      <c r="B147" s="504"/>
      <c r="C147" s="144">
        <v>2900</v>
      </c>
      <c r="D147" s="469" t="s">
        <v>410</v>
      </c>
      <c r="E147" s="202">
        <v>0</v>
      </c>
      <c r="F147" s="202">
        <f t="shared" si="18"/>
        <v>295.68299999999999</v>
      </c>
      <c r="G147" s="209">
        <v>295.68299999999999</v>
      </c>
      <c r="H147" s="215">
        <v>0</v>
      </c>
      <c r="I147" s="209">
        <v>0</v>
      </c>
      <c r="J147" s="209">
        <v>0</v>
      </c>
      <c r="K147" s="296"/>
    </row>
    <row r="148" spans="1:11" s="72" customFormat="1" ht="12.75" customHeight="1">
      <c r="A148" s="503"/>
      <c r="B148" s="194">
        <v>85205</v>
      </c>
      <c r="C148" s="144"/>
      <c r="D148" s="115" t="s">
        <v>210</v>
      </c>
      <c r="E148" s="202">
        <f>E149</f>
        <v>319500</v>
      </c>
      <c r="F148" s="202">
        <f t="shared" si="18"/>
        <v>169500</v>
      </c>
      <c r="G148" s="209">
        <f>G149</f>
        <v>169500</v>
      </c>
      <c r="H148" s="215">
        <v>0</v>
      </c>
      <c r="I148" s="209">
        <v>0</v>
      </c>
      <c r="J148" s="209">
        <v>0</v>
      </c>
      <c r="K148" s="296">
        <f t="shared" si="19"/>
        <v>53.051643192488264</v>
      </c>
    </row>
    <row r="149" spans="1:11" s="72" customFormat="1" ht="14.25" customHeight="1">
      <c r="A149" s="503"/>
      <c r="B149" s="194"/>
      <c r="C149" s="144">
        <v>2110</v>
      </c>
      <c r="D149" s="115" t="s">
        <v>65</v>
      </c>
      <c r="E149" s="202">
        <v>319500</v>
      </c>
      <c r="F149" s="202">
        <f t="shared" si="18"/>
        <v>169500</v>
      </c>
      <c r="G149" s="209">
        <v>169500</v>
      </c>
      <c r="H149" s="215">
        <v>0</v>
      </c>
      <c r="I149" s="209">
        <v>0</v>
      </c>
      <c r="J149" s="209">
        <v>0</v>
      </c>
      <c r="K149" s="296">
        <f t="shared" si="19"/>
        <v>53.051643192488264</v>
      </c>
    </row>
    <row r="150" spans="1:11" s="72" customFormat="1" ht="12">
      <c r="A150" s="503"/>
      <c r="B150" s="175">
        <v>85218</v>
      </c>
      <c r="C150" s="175"/>
      <c r="D150" s="115" t="s">
        <v>92</v>
      </c>
      <c r="E150" s="202">
        <f>SUM(E151:E154)</f>
        <v>28778</v>
      </c>
      <c r="F150" s="202">
        <f t="shared" si="18"/>
        <v>31472.28</v>
      </c>
      <c r="G150" s="209">
        <f>SUM(G151:G154)</f>
        <v>31472.28</v>
      </c>
      <c r="H150" s="215">
        <v>0</v>
      </c>
      <c r="I150" s="209">
        <v>0</v>
      </c>
      <c r="J150" s="209">
        <v>0</v>
      </c>
      <c r="K150" s="296">
        <f t="shared" si="19"/>
        <v>109.36229063868232</v>
      </c>
    </row>
    <row r="151" spans="1:11" s="72" customFormat="1" ht="34.5" customHeight="1">
      <c r="A151" s="503"/>
      <c r="B151" s="502"/>
      <c r="C151" s="144" t="s">
        <v>21</v>
      </c>
      <c r="D151" s="115" t="s">
        <v>132</v>
      </c>
      <c r="E151" s="202">
        <v>22478</v>
      </c>
      <c r="F151" s="202">
        <f t="shared" si="18"/>
        <v>21709.759999999998</v>
      </c>
      <c r="G151" s="209">
        <v>21709.759999999998</v>
      </c>
      <c r="H151" s="215">
        <v>0</v>
      </c>
      <c r="I151" s="209">
        <v>0</v>
      </c>
      <c r="J151" s="209">
        <v>0</v>
      </c>
      <c r="K151" s="296">
        <f t="shared" si="19"/>
        <v>96.582258208025621</v>
      </c>
    </row>
    <row r="152" spans="1:11" s="72" customFormat="1" ht="12">
      <c r="A152" s="503"/>
      <c r="B152" s="503"/>
      <c r="C152" s="144" t="s">
        <v>55</v>
      </c>
      <c r="D152" s="115" t="s">
        <v>57</v>
      </c>
      <c r="E152" s="202">
        <v>6000</v>
      </c>
      <c r="F152" s="202">
        <f t="shared" si="18"/>
        <v>4263.43</v>
      </c>
      <c r="G152" s="209">
        <v>4263.43</v>
      </c>
      <c r="H152" s="215">
        <v>0</v>
      </c>
      <c r="I152" s="209">
        <v>0</v>
      </c>
      <c r="J152" s="209">
        <v>0</v>
      </c>
      <c r="K152" s="296">
        <f t="shared" si="19"/>
        <v>71.057166666666674</v>
      </c>
    </row>
    <row r="153" spans="1:11" s="72" customFormat="1" ht="12.75" customHeight="1">
      <c r="A153" s="503"/>
      <c r="B153" s="503"/>
      <c r="C153" s="144" t="s">
        <v>49</v>
      </c>
      <c r="D153" s="115" t="s">
        <v>59</v>
      </c>
      <c r="E153" s="202">
        <v>300</v>
      </c>
      <c r="F153" s="202">
        <f t="shared" si="18"/>
        <v>935.73</v>
      </c>
      <c r="G153" s="209">
        <v>935.73</v>
      </c>
      <c r="H153" s="215">
        <v>0</v>
      </c>
      <c r="I153" s="209">
        <v>0</v>
      </c>
      <c r="J153" s="209">
        <v>0</v>
      </c>
      <c r="K153" s="296">
        <f t="shared" si="19"/>
        <v>311.91000000000003</v>
      </c>
    </row>
    <row r="154" spans="1:11" s="72" customFormat="1" ht="12.75" customHeight="1">
      <c r="A154" s="503"/>
      <c r="B154" s="504"/>
      <c r="C154" s="144" t="s">
        <v>56</v>
      </c>
      <c r="D154" s="115" t="s">
        <v>58</v>
      </c>
      <c r="E154" s="202">
        <v>0</v>
      </c>
      <c r="F154" s="202">
        <f t="shared" si="18"/>
        <v>4563.3599999999997</v>
      </c>
      <c r="G154" s="209">
        <v>4563.3599999999997</v>
      </c>
      <c r="H154" s="215">
        <v>0</v>
      </c>
      <c r="I154" s="209">
        <v>0</v>
      </c>
      <c r="J154" s="209">
        <v>0</v>
      </c>
      <c r="K154" s="296"/>
    </row>
    <row r="155" spans="1:11" s="72" customFormat="1" ht="12">
      <c r="A155" s="503"/>
      <c r="B155" s="174">
        <v>85226</v>
      </c>
      <c r="C155" s="363"/>
      <c r="D155" s="115" t="s">
        <v>193</v>
      </c>
      <c r="E155" s="202">
        <f>E156</f>
        <v>0</v>
      </c>
      <c r="F155" s="202">
        <f t="shared" si="18"/>
        <v>1750</v>
      </c>
      <c r="G155" s="209">
        <f>G156</f>
        <v>1750</v>
      </c>
      <c r="H155" s="215">
        <v>0</v>
      </c>
      <c r="I155" s="209">
        <v>0</v>
      </c>
      <c r="J155" s="209">
        <v>0</v>
      </c>
      <c r="K155" s="296"/>
    </row>
    <row r="156" spans="1:11" s="72" customFormat="1" ht="21.75" customHeight="1">
      <c r="A156" s="504"/>
      <c r="B156" s="284"/>
      <c r="C156" s="144">
        <v>2320</v>
      </c>
      <c r="D156" s="115" t="s">
        <v>134</v>
      </c>
      <c r="E156" s="202">
        <v>0</v>
      </c>
      <c r="F156" s="202">
        <f t="shared" si="18"/>
        <v>1750</v>
      </c>
      <c r="G156" s="209">
        <v>1750</v>
      </c>
      <c r="H156" s="293">
        <v>0</v>
      </c>
      <c r="I156" s="209">
        <v>0</v>
      </c>
      <c r="J156" s="209">
        <v>0</v>
      </c>
      <c r="K156" s="296"/>
    </row>
    <row r="157" spans="1:11" s="72" customFormat="1" ht="12">
      <c r="A157" s="146">
        <v>853</v>
      </c>
      <c r="B157" s="146"/>
      <c r="C157" s="145"/>
      <c r="D157" s="147" t="s">
        <v>36</v>
      </c>
      <c r="E157" s="201">
        <f>E158+E160+E166</f>
        <v>1809200.72</v>
      </c>
      <c r="F157" s="346">
        <f t="shared" si="18"/>
        <v>1227933.1200000001</v>
      </c>
      <c r="G157" s="201">
        <f t="shared" ref="G157:I157" si="20">G158+G160+G166</f>
        <v>1227753.1200000001</v>
      </c>
      <c r="H157" s="201">
        <f t="shared" si="20"/>
        <v>995029.48</v>
      </c>
      <c r="I157" s="201">
        <f t="shared" si="20"/>
        <v>180</v>
      </c>
      <c r="J157" s="201">
        <f t="shared" ref="J157" si="21">J158+J160+J166</f>
        <v>0</v>
      </c>
      <c r="K157" s="297">
        <f t="shared" si="19"/>
        <v>67.871580329682828</v>
      </c>
    </row>
    <row r="158" spans="1:11" s="72" customFormat="1" ht="15" customHeight="1">
      <c r="A158" s="502"/>
      <c r="B158" s="175">
        <v>85321</v>
      </c>
      <c r="C158" s="175"/>
      <c r="D158" s="115" t="s">
        <v>93</v>
      </c>
      <c r="E158" s="202">
        <f>E159</f>
        <v>78000</v>
      </c>
      <c r="F158" s="202">
        <f t="shared" si="18"/>
        <v>39000</v>
      </c>
      <c r="G158" s="209">
        <f>G159</f>
        <v>39000</v>
      </c>
      <c r="H158" s="215">
        <v>0</v>
      </c>
      <c r="I158" s="209">
        <v>0</v>
      </c>
      <c r="J158" s="209">
        <v>0</v>
      </c>
      <c r="K158" s="296">
        <f t="shared" si="19"/>
        <v>50</v>
      </c>
    </row>
    <row r="159" spans="1:11" s="72" customFormat="1" ht="14.25" customHeight="1">
      <c r="A159" s="503"/>
      <c r="B159" s="175"/>
      <c r="C159" s="175">
        <v>2110</v>
      </c>
      <c r="D159" s="115" t="s">
        <v>65</v>
      </c>
      <c r="E159" s="202">
        <v>78000</v>
      </c>
      <c r="F159" s="202">
        <f t="shared" si="18"/>
        <v>39000</v>
      </c>
      <c r="G159" s="209">
        <v>39000</v>
      </c>
      <c r="H159" s="215">
        <v>0</v>
      </c>
      <c r="I159" s="209">
        <v>0</v>
      </c>
      <c r="J159" s="209">
        <v>0</v>
      </c>
      <c r="K159" s="296">
        <f t="shared" si="19"/>
        <v>50</v>
      </c>
    </row>
    <row r="160" spans="1:11" s="72" customFormat="1" ht="14.25" customHeight="1">
      <c r="A160" s="503"/>
      <c r="B160" s="175">
        <v>85333</v>
      </c>
      <c r="C160" s="175"/>
      <c r="D160" s="115" t="s">
        <v>94</v>
      </c>
      <c r="E160" s="202">
        <f>SUM(E161:E165)</f>
        <v>390800</v>
      </c>
      <c r="F160" s="202">
        <f t="shared" si="18"/>
        <v>193055.98</v>
      </c>
      <c r="G160" s="209">
        <f>SUM(G161:G165)</f>
        <v>192875.98</v>
      </c>
      <c r="H160" s="215">
        <v>0</v>
      </c>
      <c r="I160" s="209">
        <f>SUM(I161:I165)</f>
        <v>180</v>
      </c>
      <c r="J160" s="209">
        <f>SUM(J161:J165)</f>
        <v>0</v>
      </c>
      <c r="K160" s="296">
        <f t="shared" si="19"/>
        <v>49.400199590583419</v>
      </c>
    </row>
    <row r="161" spans="1:11" s="72" customFormat="1" ht="35.25" customHeight="1">
      <c r="A161" s="503"/>
      <c r="B161" s="502"/>
      <c r="C161" s="144" t="s">
        <v>21</v>
      </c>
      <c r="D161" s="115" t="s">
        <v>163</v>
      </c>
      <c r="E161" s="202">
        <v>300</v>
      </c>
      <c r="F161" s="202">
        <f t="shared" si="18"/>
        <v>0</v>
      </c>
      <c r="G161" s="209">
        <v>0</v>
      </c>
      <c r="H161" s="215">
        <v>0</v>
      </c>
      <c r="I161" s="209">
        <v>0</v>
      </c>
      <c r="J161" s="209">
        <v>0</v>
      </c>
      <c r="K161" s="296">
        <v>0</v>
      </c>
    </row>
    <row r="162" spans="1:11" s="72" customFormat="1" ht="14.25" customHeight="1">
      <c r="A162" s="503"/>
      <c r="B162" s="503"/>
      <c r="C162" s="144" t="s">
        <v>185</v>
      </c>
      <c r="D162" s="115" t="s">
        <v>188</v>
      </c>
      <c r="E162" s="202">
        <v>0</v>
      </c>
      <c r="F162" s="202">
        <f t="shared" si="18"/>
        <v>180</v>
      </c>
      <c r="G162" s="209">
        <v>0</v>
      </c>
      <c r="H162" s="293">
        <v>0</v>
      </c>
      <c r="I162" s="209">
        <v>180</v>
      </c>
      <c r="J162" s="209">
        <v>0</v>
      </c>
      <c r="K162" s="296"/>
    </row>
    <row r="163" spans="1:11" s="72" customFormat="1" ht="12">
      <c r="A163" s="503"/>
      <c r="B163" s="503"/>
      <c r="C163" s="144" t="s">
        <v>49</v>
      </c>
      <c r="D163" s="115" t="s">
        <v>59</v>
      </c>
      <c r="E163" s="202">
        <v>1000</v>
      </c>
      <c r="F163" s="202">
        <f t="shared" si="18"/>
        <v>634.55999999999995</v>
      </c>
      <c r="G163" s="209">
        <v>634.55999999999995</v>
      </c>
      <c r="H163" s="215">
        <v>0</v>
      </c>
      <c r="I163" s="209">
        <v>0</v>
      </c>
      <c r="J163" s="209">
        <v>0</v>
      </c>
      <c r="K163" s="296">
        <f t="shared" si="19"/>
        <v>63.455999999999989</v>
      </c>
    </row>
    <row r="164" spans="1:11" s="72" customFormat="1" ht="12">
      <c r="A164" s="503"/>
      <c r="B164" s="503"/>
      <c r="C164" s="144" t="s">
        <v>56</v>
      </c>
      <c r="D164" s="115" t="s">
        <v>58</v>
      </c>
      <c r="E164" s="202">
        <v>1000</v>
      </c>
      <c r="F164" s="202">
        <f t="shared" si="18"/>
        <v>241.42</v>
      </c>
      <c r="G164" s="209">
        <v>241.42</v>
      </c>
      <c r="H164" s="215">
        <v>0</v>
      </c>
      <c r="I164" s="209">
        <v>0</v>
      </c>
      <c r="J164" s="209">
        <v>0</v>
      </c>
      <c r="K164" s="296">
        <f t="shared" si="19"/>
        <v>24.141999999999999</v>
      </c>
    </row>
    <row r="165" spans="1:11" s="72" customFormat="1" ht="25.5" customHeight="1">
      <c r="A165" s="503"/>
      <c r="B165" s="504"/>
      <c r="C165" s="175">
        <v>2690</v>
      </c>
      <c r="D165" s="115" t="s">
        <v>310</v>
      </c>
      <c r="E165" s="202">
        <v>388500</v>
      </c>
      <c r="F165" s="202">
        <f t="shared" si="18"/>
        <v>192000</v>
      </c>
      <c r="G165" s="209">
        <v>192000</v>
      </c>
      <c r="H165" s="215">
        <v>0</v>
      </c>
      <c r="I165" s="209">
        <v>0</v>
      </c>
      <c r="J165" s="209">
        <v>0</v>
      </c>
      <c r="K165" s="296">
        <f t="shared" si="19"/>
        <v>49.420849420849422</v>
      </c>
    </row>
    <row r="166" spans="1:11" s="72" customFormat="1" ht="15" customHeight="1">
      <c r="A166" s="503"/>
      <c r="B166" s="175">
        <v>85395</v>
      </c>
      <c r="C166" s="175"/>
      <c r="D166" s="115" t="s">
        <v>74</v>
      </c>
      <c r="E166" s="202">
        <f>SUM(E167:E169)</f>
        <v>1340400.72</v>
      </c>
      <c r="F166" s="202">
        <f t="shared" si="18"/>
        <v>995877.14</v>
      </c>
      <c r="G166" s="209">
        <f>SUM(G167:G169)</f>
        <v>995877.14</v>
      </c>
      <c r="H166" s="209">
        <f>SUM(H167:H169)</f>
        <v>995029.48</v>
      </c>
      <c r="I166" s="209">
        <v>0</v>
      </c>
      <c r="J166" s="209">
        <v>0</v>
      </c>
      <c r="K166" s="296">
        <f t="shared" si="19"/>
        <v>74.296971431050864</v>
      </c>
    </row>
    <row r="167" spans="1:11" s="72" customFormat="1" ht="12">
      <c r="A167" s="503"/>
      <c r="B167" s="502"/>
      <c r="C167" s="144" t="s">
        <v>49</v>
      </c>
      <c r="D167" s="115" t="s">
        <v>59</v>
      </c>
      <c r="E167" s="202">
        <v>0</v>
      </c>
      <c r="F167" s="202">
        <f t="shared" si="18"/>
        <v>847.66</v>
      </c>
      <c r="G167" s="209">
        <v>847.66</v>
      </c>
      <c r="H167" s="215">
        <v>0</v>
      </c>
      <c r="I167" s="209">
        <v>0</v>
      </c>
      <c r="J167" s="209">
        <v>0</v>
      </c>
      <c r="K167" s="296"/>
    </row>
    <row r="168" spans="1:11" s="72" customFormat="1" ht="18.75" customHeight="1">
      <c r="A168" s="503"/>
      <c r="B168" s="503"/>
      <c r="C168" s="144">
        <v>2007</v>
      </c>
      <c r="D168" s="536" t="s">
        <v>204</v>
      </c>
      <c r="E168" s="202">
        <v>1270864.92</v>
      </c>
      <c r="F168" s="202">
        <f t="shared" si="18"/>
        <v>944203.52</v>
      </c>
      <c r="G168" s="209">
        <v>944203.52</v>
      </c>
      <c r="H168" s="209">
        <f>G168</f>
        <v>944203.52</v>
      </c>
      <c r="I168" s="209">
        <v>0</v>
      </c>
      <c r="J168" s="209">
        <v>0</v>
      </c>
      <c r="K168" s="296">
        <f t="shared" si="19"/>
        <v>74.296135265107495</v>
      </c>
    </row>
    <row r="169" spans="1:11" s="72" customFormat="1" ht="24.75" customHeight="1">
      <c r="A169" s="504"/>
      <c r="B169" s="503"/>
      <c r="C169" s="144">
        <v>2009</v>
      </c>
      <c r="D169" s="537"/>
      <c r="E169" s="202">
        <v>69535.8</v>
      </c>
      <c r="F169" s="202">
        <f t="shared" si="18"/>
        <v>50825.96</v>
      </c>
      <c r="G169" s="209">
        <v>50825.96</v>
      </c>
      <c r="H169" s="209">
        <f>G169</f>
        <v>50825.96</v>
      </c>
      <c r="I169" s="209">
        <v>0</v>
      </c>
      <c r="J169" s="209">
        <v>0</v>
      </c>
      <c r="K169" s="296">
        <f t="shared" si="19"/>
        <v>73.093226798282316</v>
      </c>
    </row>
    <row r="170" spans="1:11" s="72" customFormat="1" ht="14.25" customHeight="1">
      <c r="A170" s="149">
        <v>854</v>
      </c>
      <c r="B170" s="146"/>
      <c r="C170" s="146"/>
      <c r="D170" s="147" t="s">
        <v>95</v>
      </c>
      <c r="E170" s="201">
        <f>E171+E175+E180+E184</f>
        <v>380939.92000000004</v>
      </c>
      <c r="F170" s="346">
        <f t="shared" si="18"/>
        <v>333129.34999999998</v>
      </c>
      <c r="G170" s="208">
        <f>G171+G175+G180+G184</f>
        <v>103748.43</v>
      </c>
      <c r="H170" s="208">
        <f>H171+H175+H180+H184</f>
        <v>0</v>
      </c>
      <c r="I170" s="208">
        <f>I180</f>
        <v>229380.92</v>
      </c>
      <c r="J170" s="208">
        <v>0</v>
      </c>
      <c r="K170" s="297">
        <f t="shared" si="19"/>
        <v>87.449314842088469</v>
      </c>
    </row>
    <row r="171" spans="1:11" s="72" customFormat="1" ht="22.5">
      <c r="A171" s="502"/>
      <c r="B171" s="451">
        <v>85406</v>
      </c>
      <c r="C171" s="175"/>
      <c r="D171" s="115" t="s">
        <v>96</v>
      </c>
      <c r="E171" s="172">
        <f>SUM(E172:E174)</f>
        <v>34500</v>
      </c>
      <c r="F171" s="202">
        <f t="shared" si="18"/>
        <v>18458.54</v>
      </c>
      <c r="G171" s="209">
        <f>SUM(G172:G174)</f>
        <v>18458.54</v>
      </c>
      <c r="H171" s="293">
        <v>0</v>
      </c>
      <c r="I171" s="209">
        <v>0</v>
      </c>
      <c r="J171" s="209">
        <v>0</v>
      </c>
      <c r="K171" s="296">
        <f t="shared" si="19"/>
        <v>53.503014492753628</v>
      </c>
    </row>
    <row r="172" spans="1:11" s="72" customFormat="1" ht="32.25" customHeight="1">
      <c r="A172" s="503"/>
      <c r="B172" s="507"/>
      <c r="C172" s="144" t="s">
        <v>21</v>
      </c>
      <c r="D172" s="115" t="s">
        <v>163</v>
      </c>
      <c r="E172" s="202">
        <v>20600</v>
      </c>
      <c r="F172" s="202">
        <f t="shared" si="18"/>
        <v>11182.38</v>
      </c>
      <c r="G172" s="209">
        <v>11182.38</v>
      </c>
      <c r="H172" s="215">
        <v>0</v>
      </c>
      <c r="I172" s="209">
        <v>0</v>
      </c>
      <c r="J172" s="209">
        <v>0</v>
      </c>
      <c r="K172" s="296">
        <f t="shared" si="19"/>
        <v>54.283398058252416</v>
      </c>
    </row>
    <row r="173" spans="1:11" s="72" customFormat="1" ht="15.75" customHeight="1">
      <c r="A173" s="503"/>
      <c r="B173" s="507"/>
      <c r="C173" s="144" t="s">
        <v>49</v>
      </c>
      <c r="D173" s="115" t="s">
        <v>59</v>
      </c>
      <c r="E173" s="202">
        <v>900</v>
      </c>
      <c r="F173" s="202">
        <f t="shared" si="18"/>
        <v>143.44999999999999</v>
      </c>
      <c r="G173" s="209">
        <v>143.44999999999999</v>
      </c>
      <c r="H173" s="215">
        <v>0</v>
      </c>
      <c r="I173" s="209">
        <v>0</v>
      </c>
      <c r="J173" s="209">
        <v>0</v>
      </c>
      <c r="K173" s="296">
        <f t="shared" si="19"/>
        <v>15.938888888888888</v>
      </c>
    </row>
    <row r="174" spans="1:11" s="72" customFormat="1" ht="12">
      <c r="A174" s="503"/>
      <c r="B174" s="507"/>
      <c r="C174" s="144" t="s">
        <v>56</v>
      </c>
      <c r="D174" s="115" t="s">
        <v>58</v>
      </c>
      <c r="E174" s="202">
        <v>13000</v>
      </c>
      <c r="F174" s="202">
        <f t="shared" si="18"/>
        <v>7132.71</v>
      </c>
      <c r="G174" s="209">
        <v>7132.71</v>
      </c>
      <c r="H174" s="215">
        <v>0</v>
      </c>
      <c r="I174" s="209">
        <v>0</v>
      </c>
      <c r="J174" s="209">
        <v>0</v>
      </c>
      <c r="K174" s="296">
        <f t="shared" si="19"/>
        <v>54.866999999999997</v>
      </c>
    </row>
    <row r="175" spans="1:11" s="72" customFormat="1" ht="12">
      <c r="A175" s="503"/>
      <c r="B175" s="450">
        <v>85407</v>
      </c>
      <c r="C175" s="175"/>
      <c r="D175" s="115" t="s">
        <v>45</v>
      </c>
      <c r="E175" s="202">
        <f>SUM(E176:E179)</f>
        <v>17882</v>
      </c>
      <c r="F175" s="202">
        <f t="shared" si="18"/>
        <v>11445.480000000001</v>
      </c>
      <c r="G175" s="209">
        <f>SUM(G176:G179)</f>
        <v>11445.480000000001</v>
      </c>
      <c r="H175" s="215">
        <v>0</v>
      </c>
      <c r="I175" s="209">
        <v>0</v>
      </c>
      <c r="J175" s="209">
        <v>0</v>
      </c>
      <c r="K175" s="296">
        <f t="shared" si="19"/>
        <v>64.005592215635843</v>
      </c>
    </row>
    <row r="176" spans="1:11" s="72" customFormat="1" ht="39.75" customHeight="1">
      <c r="A176" s="503"/>
      <c r="B176" s="505"/>
      <c r="C176" s="144" t="s">
        <v>21</v>
      </c>
      <c r="D176" s="115" t="s">
        <v>163</v>
      </c>
      <c r="E176" s="202">
        <v>10840</v>
      </c>
      <c r="F176" s="202">
        <f t="shared" si="18"/>
        <v>7202.04</v>
      </c>
      <c r="G176" s="209">
        <v>7202.04</v>
      </c>
      <c r="H176" s="215">
        <v>0</v>
      </c>
      <c r="I176" s="209">
        <v>0</v>
      </c>
      <c r="J176" s="209">
        <v>0</v>
      </c>
      <c r="K176" s="296">
        <f t="shared" si="19"/>
        <v>66.439483394833942</v>
      </c>
    </row>
    <row r="177" spans="1:11" s="72" customFormat="1" ht="12.75" customHeight="1">
      <c r="A177" s="503"/>
      <c r="B177" s="505"/>
      <c r="C177" s="144" t="s">
        <v>55</v>
      </c>
      <c r="D177" s="115" t="s">
        <v>57</v>
      </c>
      <c r="E177" s="202">
        <v>6722</v>
      </c>
      <c r="F177" s="202">
        <f t="shared" si="18"/>
        <v>3580</v>
      </c>
      <c r="G177" s="209">
        <v>3580</v>
      </c>
      <c r="H177" s="215">
        <v>0</v>
      </c>
      <c r="I177" s="209">
        <v>0</v>
      </c>
      <c r="J177" s="209">
        <v>0</v>
      </c>
      <c r="K177" s="296">
        <f t="shared" si="19"/>
        <v>53.257958940791426</v>
      </c>
    </row>
    <row r="178" spans="1:11" s="72" customFormat="1" ht="13.5" customHeight="1">
      <c r="A178" s="503"/>
      <c r="B178" s="505"/>
      <c r="C178" s="144" t="s">
        <v>49</v>
      </c>
      <c r="D178" s="115" t="s">
        <v>59</v>
      </c>
      <c r="E178" s="202">
        <v>200</v>
      </c>
      <c r="F178" s="202">
        <f t="shared" si="18"/>
        <v>114.5</v>
      </c>
      <c r="G178" s="209">
        <v>114.5</v>
      </c>
      <c r="H178" s="215">
        <v>0</v>
      </c>
      <c r="I178" s="209">
        <v>0</v>
      </c>
      <c r="J178" s="209">
        <v>0</v>
      </c>
      <c r="K178" s="296">
        <f t="shared" si="19"/>
        <v>57.25</v>
      </c>
    </row>
    <row r="179" spans="1:11" s="72" customFormat="1" ht="15" customHeight="1">
      <c r="A179" s="503"/>
      <c r="B179" s="505"/>
      <c r="C179" s="144" t="s">
        <v>56</v>
      </c>
      <c r="D179" s="115" t="s">
        <v>58</v>
      </c>
      <c r="E179" s="202">
        <v>120</v>
      </c>
      <c r="F179" s="202">
        <f t="shared" si="18"/>
        <v>548.94000000000005</v>
      </c>
      <c r="G179" s="209">
        <v>548.94000000000005</v>
      </c>
      <c r="H179" s="215">
        <v>0</v>
      </c>
      <c r="I179" s="209">
        <v>0</v>
      </c>
      <c r="J179" s="209">
        <v>0</v>
      </c>
      <c r="K179" s="296">
        <f t="shared" si="19"/>
        <v>457.45000000000005</v>
      </c>
    </row>
    <row r="180" spans="1:11" s="72" customFormat="1" ht="12">
      <c r="A180" s="503"/>
      <c r="B180" s="451">
        <v>85410</v>
      </c>
      <c r="C180" s="175"/>
      <c r="D180" s="115" t="s">
        <v>46</v>
      </c>
      <c r="E180" s="202">
        <f>E181+E182+E183</f>
        <v>299617.92000000004</v>
      </c>
      <c r="F180" s="202">
        <f>F181+F182+F183</f>
        <v>278730.98</v>
      </c>
      <c r="G180" s="202">
        <f>G181+G182</f>
        <v>49350.06</v>
      </c>
      <c r="H180" s="215">
        <v>0</v>
      </c>
      <c r="I180" s="209">
        <f>I183</f>
        <v>229380.92</v>
      </c>
      <c r="J180" s="209">
        <v>0</v>
      </c>
      <c r="K180" s="296">
        <f t="shared" si="19"/>
        <v>93.028808156735067</v>
      </c>
    </row>
    <row r="181" spans="1:11" s="72" customFormat="1" ht="36.75" customHeight="1">
      <c r="A181" s="503"/>
      <c r="B181" s="502"/>
      <c r="C181" s="144" t="s">
        <v>21</v>
      </c>
      <c r="D181" s="115" t="s">
        <v>163</v>
      </c>
      <c r="E181" s="202">
        <v>40000</v>
      </c>
      <c r="F181" s="202">
        <f t="shared" si="18"/>
        <v>30362.560000000001</v>
      </c>
      <c r="G181" s="209">
        <v>30362.560000000001</v>
      </c>
      <c r="H181" s="215">
        <v>0</v>
      </c>
      <c r="I181" s="209">
        <v>0</v>
      </c>
      <c r="J181" s="209">
        <v>0</v>
      </c>
      <c r="K181" s="296">
        <f t="shared" si="19"/>
        <v>75.906400000000005</v>
      </c>
    </row>
    <row r="182" spans="1:11" s="72" customFormat="1" ht="12">
      <c r="A182" s="503"/>
      <c r="B182" s="503"/>
      <c r="C182" s="144" t="s">
        <v>55</v>
      </c>
      <c r="D182" s="115" t="s">
        <v>57</v>
      </c>
      <c r="E182" s="202">
        <v>30237</v>
      </c>
      <c r="F182" s="202">
        <f t="shared" si="18"/>
        <v>18987.5</v>
      </c>
      <c r="G182" s="209">
        <v>18987.5</v>
      </c>
      <c r="H182" s="293">
        <v>0</v>
      </c>
      <c r="I182" s="209">
        <v>0</v>
      </c>
      <c r="J182" s="209">
        <v>0</v>
      </c>
      <c r="K182" s="296">
        <f t="shared" si="19"/>
        <v>62.795581572245929</v>
      </c>
    </row>
    <row r="183" spans="1:11" s="72" customFormat="1" ht="36.75" customHeight="1">
      <c r="A183" s="503"/>
      <c r="B183" s="504"/>
      <c r="C183" s="152">
        <v>6620</v>
      </c>
      <c r="D183" s="115" t="s">
        <v>315</v>
      </c>
      <c r="E183" s="202">
        <v>229380.92</v>
      </c>
      <c r="F183" s="202">
        <f>I183</f>
        <v>229380.92</v>
      </c>
      <c r="G183" s="209">
        <v>0</v>
      </c>
      <c r="H183" s="215">
        <v>0</v>
      </c>
      <c r="I183" s="209">
        <v>229380.92</v>
      </c>
      <c r="J183" s="209">
        <v>0</v>
      </c>
      <c r="K183" s="296">
        <f t="shared" si="19"/>
        <v>100</v>
      </c>
    </row>
    <row r="184" spans="1:11" s="72" customFormat="1" ht="15" customHeight="1">
      <c r="A184" s="503"/>
      <c r="B184" s="451">
        <v>85420</v>
      </c>
      <c r="C184" s="144"/>
      <c r="D184" s="115" t="s">
        <v>130</v>
      </c>
      <c r="E184" s="202">
        <f>E185+E186+E187</f>
        <v>28940</v>
      </c>
      <c r="F184" s="202">
        <f t="shared" si="18"/>
        <v>24494.35</v>
      </c>
      <c r="G184" s="209">
        <f>G185+G186+G187</f>
        <v>24494.35</v>
      </c>
      <c r="H184" s="215">
        <v>0</v>
      </c>
      <c r="I184" s="209">
        <v>0</v>
      </c>
      <c r="J184" s="209">
        <v>0</v>
      </c>
      <c r="K184" s="296">
        <f t="shared" si="19"/>
        <v>84.638389771941945</v>
      </c>
    </row>
    <row r="185" spans="1:11" s="72" customFormat="1" ht="12">
      <c r="A185" s="503"/>
      <c r="B185" s="506"/>
      <c r="C185" s="144" t="s">
        <v>55</v>
      </c>
      <c r="D185" s="115" t="s">
        <v>57</v>
      </c>
      <c r="E185" s="202">
        <v>15000</v>
      </c>
      <c r="F185" s="202">
        <f t="shared" si="18"/>
        <v>14741.62</v>
      </c>
      <c r="G185" s="209">
        <v>14741.62</v>
      </c>
      <c r="H185" s="215">
        <v>0</v>
      </c>
      <c r="I185" s="209">
        <v>0</v>
      </c>
      <c r="J185" s="209">
        <v>0</v>
      </c>
      <c r="K185" s="296">
        <f t="shared" si="19"/>
        <v>98.277466666666669</v>
      </c>
    </row>
    <row r="186" spans="1:11" s="72" customFormat="1" ht="11.25" customHeight="1">
      <c r="A186" s="503"/>
      <c r="B186" s="507"/>
      <c r="C186" s="144" t="s">
        <v>49</v>
      </c>
      <c r="D186" s="115" t="s">
        <v>59</v>
      </c>
      <c r="E186" s="202">
        <v>500</v>
      </c>
      <c r="F186" s="202">
        <f t="shared" si="18"/>
        <v>260.81</v>
      </c>
      <c r="G186" s="209">
        <v>260.81</v>
      </c>
      <c r="H186" s="215">
        <v>0</v>
      </c>
      <c r="I186" s="209">
        <v>0</v>
      </c>
      <c r="J186" s="209">
        <v>0</v>
      </c>
      <c r="K186" s="296">
        <f t="shared" si="19"/>
        <v>52.161999999999999</v>
      </c>
    </row>
    <row r="187" spans="1:11" s="72" customFormat="1" ht="12">
      <c r="A187" s="504"/>
      <c r="B187" s="508"/>
      <c r="C187" s="144" t="s">
        <v>56</v>
      </c>
      <c r="D187" s="115" t="s">
        <v>58</v>
      </c>
      <c r="E187" s="202">
        <v>13440</v>
      </c>
      <c r="F187" s="202">
        <f t="shared" si="18"/>
        <v>9491.92</v>
      </c>
      <c r="G187" s="209">
        <v>9491.92</v>
      </c>
      <c r="H187" s="215">
        <v>0</v>
      </c>
      <c r="I187" s="209">
        <v>0</v>
      </c>
      <c r="J187" s="209">
        <v>0</v>
      </c>
      <c r="K187" s="296">
        <f t="shared" si="19"/>
        <v>70.624404761904756</v>
      </c>
    </row>
    <row r="188" spans="1:11" s="72" customFormat="1" ht="12">
      <c r="A188" s="367">
        <v>900</v>
      </c>
      <c r="B188" s="369"/>
      <c r="C188" s="370"/>
      <c r="D188" s="359" t="s">
        <v>137</v>
      </c>
      <c r="E188" s="346">
        <f>E189+E191</f>
        <v>289502.41000000003</v>
      </c>
      <c r="F188" s="346">
        <f t="shared" si="18"/>
        <v>30988.98</v>
      </c>
      <c r="G188" s="346">
        <f>G189+G191</f>
        <v>30988.98</v>
      </c>
      <c r="H188" s="371">
        <v>0</v>
      </c>
      <c r="I188" s="372">
        <v>0</v>
      </c>
      <c r="J188" s="372">
        <v>0</v>
      </c>
      <c r="K188" s="297">
        <f t="shared" si="19"/>
        <v>10.704221771418068</v>
      </c>
    </row>
    <row r="189" spans="1:11" s="72" customFormat="1" ht="22.5">
      <c r="A189" s="502"/>
      <c r="B189" s="193">
        <v>90019</v>
      </c>
      <c r="C189" s="144"/>
      <c r="D189" s="115" t="s">
        <v>209</v>
      </c>
      <c r="E189" s="202">
        <f>E190</f>
        <v>100000</v>
      </c>
      <c r="F189" s="202">
        <f t="shared" si="18"/>
        <v>30988.98</v>
      </c>
      <c r="G189" s="209">
        <f>G190</f>
        <v>30988.98</v>
      </c>
      <c r="H189" s="293">
        <v>0</v>
      </c>
      <c r="I189" s="209">
        <v>0</v>
      </c>
      <c r="J189" s="209">
        <v>0</v>
      </c>
      <c r="K189" s="296">
        <f t="shared" si="19"/>
        <v>30.988979999999998</v>
      </c>
    </row>
    <row r="190" spans="1:11" s="72" customFormat="1" ht="12">
      <c r="A190" s="503"/>
      <c r="B190" s="283"/>
      <c r="C190" s="144" t="s">
        <v>37</v>
      </c>
      <c r="D190" s="466" t="s">
        <v>38</v>
      </c>
      <c r="E190" s="202">
        <v>100000</v>
      </c>
      <c r="F190" s="202">
        <f t="shared" si="18"/>
        <v>30988.98</v>
      </c>
      <c r="G190" s="209">
        <v>30988.98</v>
      </c>
      <c r="H190" s="215">
        <v>0</v>
      </c>
      <c r="I190" s="209">
        <v>0</v>
      </c>
      <c r="J190" s="209">
        <v>0</v>
      </c>
      <c r="K190" s="296">
        <f t="shared" si="19"/>
        <v>30.988979999999998</v>
      </c>
    </row>
    <row r="191" spans="1:11">
      <c r="A191" s="503"/>
      <c r="B191" s="361">
        <v>90095</v>
      </c>
      <c r="C191" s="144"/>
      <c r="D191" s="466" t="s">
        <v>316</v>
      </c>
      <c r="E191" s="202">
        <f>E192</f>
        <v>189502.41</v>
      </c>
      <c r="F191" s="202">
        <f t="shared" si="18"/>
        <v>0</v>
      </c>
      <c r="G191" s="209">
        <v>0</v>
      </c>
      <c r="H191" s="215">
        <v>0</v>
      </c>
      <c r="I191" s="209">
        <v>0</v>
      </c>
      <c r="J191" s="209">
        <v>0</v>
      </c>
      <c r="K191" s="296">
        <v>0</v>
      </c>
    </row>
    <row r="192" spans="1:11" ht="43.5" customHeight="1">
      <c r="A192" s="504"/>
      <c r="B192" s="361"/>
      <c r="C192" s="144">
        <v>6287</v>
      </c>
      <c r="D192" s="115" t="s">
        <v>317</v>
      </c>
      <c r="E192" s="202">
        <v>189502.41</v>
      </c>
      <c r="F192" s="202">
        <f t="shared" si="18"/>
        <v>0</v>
      </c>
      <c r="G192" s="209">
        <v>0</v>
      </c>
      <c r="H192" s="215">
        <v>0</v>
      </c>
      <c r="I192" s="209">
        <v>0</v>
      </c>
      <c r="J192" s="209">
        <v>0</v>
      </c>
      <c r="K192" s="296">
        <v>0</v>
      </c>
    </row>
    <row r="193" spans="1:11">
      <c r="A193" s="533" t="s">
        <v>26</v>
      </c>
      <c r="B193" s="534"/>
      <c r="C193" s="534"/>
      <c r="D193" s="535"/>
      <c r="E193" s="206">
        <f>E11+E14+E18+E24+E33+E46+E62+E70+E79+E90+E116+E123+E157+E170+E188</f>
        <v>51570716.359999999</v>
      </c>
      <c r="F193" s="206">
        <f>F11+F14+F18+F24+F33+F46+F62+F70+F79+F90+F116+F123+F157+F170+F188</f>
        <v>28405641.473000001</v>
      </c>
      <c r="G193" s="206">
        <f t="shared" ref="G193:J193" si="22">G11+G14+G18+G24+G33+G46+G62+G70+G79+G90+G116+G123+G157+G170+G188</f>
        <v>27470508.892999999</v>
      </c>
      <c r="H193" s="206">
        <f t="shared" si="22"/>
        <v>995029.48</v>
      </c>
      <c r="I193" s="206">
        <f t="shared" si="22"/>
        <v>935132.58000000007</v>
      </c>
      <c r="J193" s="206">
        <f t="shared" si="22"/>
        <v>18278.25</v>
      </c>
      <c r="K193" s="297">
        <f t="shared" si="19"/>
        <v>55.080951900509909</v>
      </c>
    </row>
    <row r="195" spans="1:11">
      <c r="G195" s="214"/>
      <c r="H195" s="214"/>
    </row>
    <row r="196" spans="1:11">
      <c r="G196" s="443"/>
    </row>
    <row r="197" spans="1:11">
      <c r="E197" s="198"/>
      <c r="F197" s="198"/>
    </row>
  </sheetData>
  <mergeCells count="58">
    <mergeCell ref="A189:A192"/>
    <mergeCell ref="A25:A32"/>
    <mergeCell ref="B26:B32"/>
    <mergeCell ref="A193:D193"/>
    <mergeCell ref="A124:A156"/>
    <mergeCell ref="B142:B147"/>
    <mergeCell ref="A158:A169"/>
    <mergeCell ref="A171:A187"/>
    <mergeCell ref="B181:B183"/>
    <mergeCell ref="A34:A45"/>
    <mergeCell ref="B104:B108"/>
    <mergeCell ref="A117:A122"/>
    <mergeCell ref="D168:D169"/>
    <mergeCell ref="B161:B165"/>
    <mergeCell ref="B151:B154"/>
    <mergeCell ref="B125:B131"/>
    <mergeCell ref="K7:K9"/>
    <mergeCell ref="A15:A17"/>
    <mergeCell ref="A7:A9"/>
    <mergeCell ref="B7:B9"/>
    <mergeCell ref="C7:C9"/>
    <mergeCell ref="D7:D9"/>
    <mergeCell ref="E7:E9"/>
    <mergeCell ref="I8:I9"/>
    <mergeCell ref="G8:G9"/>
    <mergeCell ref="F7:F9"/>
    <mergeCell ref="G7:J7"/>
    <mergeCell ref="A12:A13"/>
    <mergeCell ref="B16:B17"/>
    <mergeCell ref="D1:K1"/>
    <mergeCell ref="A2:K2"/>
    <mergeCell ref="A3:K3"/>
    <mergeCell ref="A4:K4"/>
    <mergeCell ref="A5:K5"/>
    <mergeCell ref="A19:A23"/>
    <mergeCell ref="B20:B23"/>
    <mergeCell ref="A80:A89"/>
    <mergeCell ref="B92:B94"/>
    <mergeCell ref="A63:A69"/>
    <mergeCell ref="B37:B40"/>
    <mergeCell ref="B42:B45"/>
    <mergeCell ref="A47:A61"/>
    <mergeCell ref="A71:A78"/>
    <mergeCell ref="B72:B75"/>
    <mergeCell ref="B77:B78"/>
    <mergeCell ref="B54:B55"/>
    <mergeCell ref="B50:B52"/>
    <mergeCell ref="A91:A115"/>
    <mergeCell ref="B57:B61"/>
    <mergeCell ref="B64:B67"/>
    <mergeCell ref="B98:B102"/>
    <mergeCell ref="B110:B113"/>
    <mergeCell ref="B133:B134"/>
    <mergeCell ref="B176:B179"/>
    <mergeCell ref="B185:B187"/>
    <mergeCell ref="B172:B174"/>
    <mergeCell ref="B167:B169"/>
    <mergeCell ref="B136:B140"/>
  </mergeCells>
  <pageMargins left="0.35" right="0.7" top="0.75" bottom="0.75" header="0.39" footer="0.39"/>
  <pageSetup paperSize="9" orientation="landscape" r:id="rId1"/>
  <headerFooter>
    <oddFooter>&amp;C&amp;"Times New (W1),Normalny"Tabela Nr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30"/>
  <sheetViews>
    <sheetView view="pageLayout" topLeftCell="A4" workbookViewId="0">
      <selection activeCell="E10" sqref="E10:F10"/>
    </sheetView>
  </sheetViews>
  <sheetFormatPr defaultRowHeight="12.75"/>
  <cols>
    <col min="1" max="1" width="4.5703125" customWidth="1"/>
    <col min="2" max="2" width="6.42578125" customWidth="1"/>
    <col min="3" max="4" width="7.85546875" customWidth="1"/>
    <col min="6" max="6" width="17.42578125" customWidth="1"/>
    <col min="7" max="7" width="12.28515625" customWidth="1"/>
    <col min="8" max="8" width="12" customWidth="1"/>
    <col min="9" max="9" width="6.42578125" customWidth="1"/>
  </cols>
  <sheetData>
    <row r="1" spans="1:9">
      <c r="A1" s="188"/>
      <c r="B1" s="188"/>
      <c r="C1" s="188"/>
      <c r="D1" s="188"/>
      <c r="E1" s="188"/>
      <c r="F1" s="188"/>
      <c r="G1" s="189"/>
      <c r="H1" s="605" t="s">
        <v>279</v>
      </c>
      <c r="I1" s="605"/>
    </row>
    <row r="2" spans="1:9">
      <c r="A2" s="188"/>
      <c r="B2" s="188"/>
      <c r="C2" s="188"/>
      <c r="D2" s="188"/>
      <c r="E2" s="188"/>
      <c r="F2" s="188"/>
      <c r="G2" s="189"/>
      <c r="H2" s="190"/>
      <c r="I2" s="191"/>
    </row>
    <row r="3" spans="1:9" ht="15.75">
      <c r="A3" s="604" t="s">
        <v>180</v>
      </c>
      <c r="B3" s="604"/>
      <c r="C3" s="604"/>
      <c r="D3" s="604"/>
      <c r="E3" s="604"/>
      <c r="F3" s="604"/>
      <c r="G3" s="604"/>
      <c r="H3" s="604"/>
      <c r="I3" s="604"/>
    </row>
    <row r="4" spans="1:9" ht="15.75">
      <c r="A4" s="604" t="s">
        <v>413</v>
      </c>
      <c r="B4" s="604"/>
      <c r="C4" s="604"/>
      <c r="D4" s="604"/>
      <c r="E4" s="604"/>
      <c r="F4" s="604"/>
      <c r="G4" s="604"/>
      <c r="H4" s="604"/>
      <c r="I4" s="604"/>
    </row>
    <row r="5" spans="1:9" ht="15.75">
      <c r="A5" s="604" t="s">
        <v>318</v>
      </c>
      <c r="B5" s="604"/>
      <c r="C5" s="604"/>
      <c r="D5" s="604"/>
      <c r="E5" s="604"/>
      <c r="F5" s="604"/>
      <c r="G5" s="604"/>
      <c r="H5" s="604"/>
      <c r="I5" s="604"/>
    </row>
    <row r="6" spans="1:9" ht="15.75">
      <c r="A6" s="122"/>
      <c r="B6" s="122"/>
      <c r="C6" s="122"/>
      <c r="D6" s="452"/>
      <c r="E6" s="252"/>
      <c r="F6" s="122"/>
      <c r="G6" s="129"/>
      <c r="H6" s="109" t="s">
        <v>162</v>
      </c>
      <c r="I6" s="110"/>
    </row>
    <row r="7" spans="1:9">
      <c r="A7" s="124" t="s">
        <v>173</v>
      </c>
      <c r="B7" s="124" t="s">
        <v>0</v>
      </c>
      <c r="C7" s="124" t="s">
        <v>8</v>
      </c>
      <c r="D7" s="453" t="s">
        <v>63</v>
      </c>
      <c r="E7" s="600" t="s">
        <v>178</v>
      </c>
      <c r="F7" s="601"/>
      <c r="G7" s="125" t="s">
        <v>135</v>
      </c>
      <c r="H7" s="124" t="s">
        <v>127</v>
      </c>
      <c r="I7" s="124" t="s">
        <v>136</v>
      </c>
    </row>
    <row r="8" spans="1:9">
      <c r="A8" s="126">
        <v>1</v>
      </c>
      <c r="B8" s="126">
        <v>2</v>
      </c>
      <c r="C8" s="126">
        <v>3</v>
      </c>
      <c r="D8" s="454">
        <v>4</v>
      </c>
      <c r="E8" s="608">
        <v>5</v>
      </c>
      <c r="F8" s="609"/>
      <c r="G8" s="126">
        <v>6</v>
      </c>
      <c r="H8" s="130">
        <v>7</v>
      </c>
      <c r="I8" s="130">
        <v>9</v>
      </c>
    </row>
    <row r="9" spans="1:9" s="67" customFormat="1" ht="41.25" customHeight="1">
      <c r="A9" s="312">
        <v>1</v>
      </c>
      <c r="B9" s="292">
        <v>754</v>
      </c>
      <c r="C9" s="292">
        <v>75405</v>
      </c>
      <c r="D9" s="456">
        <v>3000</v>
      </c>
      <c r="E9" s="610" t="s">
        <v>304</v>
      </c>
      <c r="F9" s="611"/>
      <c r="G9" s="313">
        <v>5000</v>
      </c>
      <c r="H9" s="314">
        <v>5000</v>
      </c>
      <c r="I9" s="140">
        <f>H9/G9*100</f>
        <v>100</v>
      </c>
    </row>
    <row r="10" spans="1:9" ht="51" customHeight="1">
      <c r="A10" s="131">
        <v>2</v>
      </c>
      <c r="B10" s="121">
        <v>754</v>
      </c>
      <c r="C10" s="121">
        <v>75406</v>
      </c>
      <c r="D10" s="456">
        <v>3000</v>
      </c>
      <c r="E10" s="610" t="s">
        <v>435</v>
      </c>
      <c r="F10" s="611"/>
      <c r="G10" s="315">
        <v>3000</v>
      </c>
      <c r="H10" s="316">
        <v>0</v>
      </c>
      <c r="I10" s="140">
        <f>H10/G10*100</f>
        <v>0</v>
      </c>
    </row>
    <row r="11" spans="1:9">
      <c r="A11" s="606" t="s">
        <v>159</v>
      </c>
      <c r="B11" s="607"/>
      <c r="C11" s="607"/>
      <c r="D11" s="607"/>
      <c r="E11" s="607"/>
      <c r="F11" s="607"/>
      <c r="G11" s="317">
        <f>SUM(G9:G10)</f>
        <v>8000</v>
      </c>
      <c r="H11" s="317">
        <f>SUM(H9:H10)</f>
        <v>5000</v>
      </c>
      <c r="I11" s="271">
        <f>H11/G11*100</f>
        <v>62.5</v>
      </c>
    </row>
    <row r="17" spans="1:9">
      <c r="A17" s="37"/>
      <c r="B17" s="37"/>
      <c r="C17" s="37"/>
      <c r="D17" s="37"/>
      <c r="E17" s="37"/>
      <c r="F17" s="37"/>
      <c r="G17" s="37"/>
      <c r="H17" s="603" t="s">
        <v>281</v>
      </c>
      <c r="I17" s="603"/>
    </row>
    <row r="18" spans="1:9" ht="15.75">
      <c r="A18" s="602" t="s">
        <v>305</v>
      </c>
      <c r="B18" s="602"/>
      <c r="C18" s="602"/>
      <c r="D18" s="602"/>
      <c r="E18" s="602"/>
      <c r="F18" s="602"/>
      <c r="G18" s="602"/>
      <c r="H18" s="602"/>
      <c r="I18" s="602"/>
    </row>
    <row r="19" spans="1:9" ht="15.75">
      <c r="A19" s="602" t="s">
        <v>306</v>
      </c>
      <c r="B19" s="602"/>
      <c r="C19" s="602"/>
      <c r="D19" s="602"/>
      <c r="E19" s="602"/>
      <c r="F19" s="602"/>
      <c r="G19" s="602"/>
      <c r="H19" s="602"/>
      <c r="I19" s="602"/>
    </row>
    <row r="20" spans="1:9" ht="15.75">
      <c r="A20" s="602" t="s">
        <v>318</v>
      </c>
      <c r="B20" s="602"/>
      <c r="C20" s="602"/>
      <c r="D20" s="602"/>
      <c r="E20" s="602"/>
      <c r="F20" s="602"/>
      <c r="G20" s="602"/>
      <c r="H20" s="602"/>
      <c r="I20" s="602"/>
    </row>
    <row r="21" spans="1:9">
      <c r="A21" s="37"/>
      <c r="B21" s="37"/>
      <c r="C21" s="37"/>
      <c r="D21" s="37"/>
      <c r="E21" s="37"/>
      <c r="F21" s="37"/>
      <c r="G21" s="37"/>
      <c r="H21" s="37"/>
      <c r="I21" s="37"/>
    </row>
    <row r="22" spans="1:9">
      <c r="A22" s="37"/>
      <c r="B22" s="37"/>
      <c r="C22" s="37"/>
      <c r="D22" s="37"/>
      <c r="E22" s="37"/>
      <c r="F22" s="37"/>
      <c r="G22" s="37"/>
      <c r="H22" s="481" t="s">
        <v>162</v>
      </c>
      <c r="I22" s="37"/>
    </row>
    <row r="23" spans="1:9">
      <c r="A23" s="482" t="s">
        <v>173</v>
      </c>
      <c r="B23" s="482" t="s">
        <v>0</v>
      </c>
      <c r="C23" s="482" t="s">
        <v>8</v>
      </c>
      <c r="D23" s="483"/>
      <c r="E23" s="592" t="s">
        <v>307</v>
      </c>
      <c r="F23" s="593"/>
      <c r="G23" s="484" t="s">
        <v>135</v>
      </c>
      <c r="H23" s="482" t="s">
        <v>127</v>
      </c>
      <c r="I23" s="482" t="s">
        <v>136</v>
      </c>
    </row>
    <row r="24" spans="1:9">
      <c r="A24" s="130">
        <v>1</v>
      </c>
      <c r="B24" s="130">
        <v>2</v>
      </c>
      <c r="C24" s="130">
        <v>3</v>
      </c>
      <c r="D24" s="485">
        <v>4</v>
      </c>
      <c r="E24" s="594">
        <v>5</v>
      </c>
      <c r="F24" s="595"/>
      <c r="G24" s="130">
        <v>6</v>
      </c>
      <c r="H24" s="130">
        <v>7</v>
      </c>
      <c r="I24" s="130">
        <v>8</v>
      </c>
    </row>
    <row r="25" spans="1:9" ht="68.25" customHeight="1">
      <c r="A25" s="486">
        <v>1</v>
      </c>
      <c r="B25" s="482">
        <v>710</v>
      </c>
      <c r="C25" s="482">
        <v>71014</v>
      </c>
      <c r="D25" s="483">
        <v>2910</v>
      </c>
      <c r="E25" s="596" t="s">
        <v>429</v>
      </c>
      <c r="F25" s="597"/>
      <c r="G25" s="316">
        <v>6421.68</v>
      </c>
      <c r="H25" s="316">
        <v>6421.68</v>
      </c>
      <c r="I25" s="140">
        <f>H25/G25*100</f>
        <v>100</v>
      </c>
    </row>
    <row r="26" spans="1:9">
      <c r="A26" s="598" t="s">
        <v>159</v>
      </c>
      <c r="B26" s="599"/>
      <c r="C26" s="599"/>
      <c r="D26" s="599"/>
      <c r="E26" s="599"/>
      <c r="F26" s="599"/>
      <c r="G26" s="487">
        <f>SUM(G25:G25)</f>
        <v>6421.68</v>
      </c>
      <c r="H26" s="487">
        <f>SUM(H25:H25)</f>
        <v>6421.68</v>
      </c>
      <c r="I26" s="271">
        <f>H26/G26*100</f>
        <v>100</v>
      </c>
    </row>
    <row r="27" spans="1:9">
      <c r="A27" s="37"/>
      <c r="B27" s="37"/>
      <c r="C27" s="37"/>
      <c r="D27" s="37"/>
      <c r="E27" s="37"/>
      <c r="F27" s="37"/>
      <c r="G27" s="37"/>
      <c r="H27" s="37"/>
      <c r="I27" s="37"/>
    </row>
    <row r="28" spans="1:9">
      <c r="A28" s="37"/>
      <c r="B28" s="37"/>
      <c r="C28" s="37"/>
      <c r="D28" s="37"/>
      <c r="E28" s="37"/>
      <c r="F28" s="37"/>
      <c r="G28" s="37"/>
      <c r="H28" s="37"/>
      <c r="I28" s="37"/>
    </row>
    <row r="29" spans="1:9">
      <c r="A29" s="37"/>
      <c r="B29" s="37"/>
      <c r="C29" s="37"/>
      <c r="D29" s="37"/>
      <c r="E29" s="37"/>
      <c r="F29" s="37"/>
      <c r="G29" s="37"/>
      <c r="H29" s="37"/>
      <c r="I29" s="37"/>
    </row>
    <row r="30" spans="1:9">
      <c r="A30" s="37"/>
      <c r="B30" s="37"/>
      <c r="C30" s="37"/>
      <c r="D30" s="37"/>
      <c r="E30" s="37"/>
      <c r="F30" s="37"/>
      <c r="G30" s="37"/>
      <c r="H30" s="37"/>
      <c r="I30" s="37"/>
    </row>
  </sheetData>
  <mergeCells count="17">
    <mergeCell ref="A5:I5"/>
    <mergeCell ref="H1:I1"/>
    <mergeCell ref="A3:I3"/>
    <mergeCell ref="A11:F11"/>
    <mergeCell ref="A4:I4"/>
    <mergeCell ref="E8:F8"/>
    <mergeCell ref="E10:F10"/>
    <mergeCell ref="E9:F9"/>
    <mergeCell ref="E23:F23"/>
    <mergeCell ref="E24:F24"/>
    <mergeCell ref="E25:F25"/>
    <mergeCell ref="A26:F26"/>
    <mergeCell ref="E7:F7"/>
    <mergeCell ref="A18:I18"/>
    <mergeCell ref="A19:I19"/>
    <mergeCell ref="A20:I20"/>
    <mergeCell ref="H17:I17"/>
  </mergeCells>
  <pageMargins left="0.7" right="0.7" top="0.75" bottom="0.75" header="0.3" footer="0.3"/>
  <pageSetup paperSize="9" orientation="portrait" r:id="rId1"/>
  <headerFooter>
    <oddFooter xml:space="preserve">&amp;CTabela Nr 9 i 10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G32"/>
  <sheetViews>
    <sheetView view="pageLayout" topLeftCell="A4" workbookViewId="0">
      <selection activeCell="C23" sqref="C23"/>
    </sheetView>
  </sheetViews>
  <sheetFormatPr defaultRowHeight="12.75"/>
  <cols>
    <col min="1" max="1" width="4.140625" customWidth="1"/>
    <col min="2" max="2" width="6.5703125" customWidth="1"/>
    <col min="3" max="3" width="28.42578125" customWidth="1"/>
    <col min="4" max="4" width="10.140625" customWidth="1"/>
    <col min="5" max="5" width="10.42578125" customWidth="1"/>
    <col min="6" max="6" width="10.28515625" customWidth="1"/>
    <col min="7" max="7" width="10.140625" customWidth="1"/>
    <col min="8" max="8" width="10" customWidth="1"/>
    <col min="9" max="9" width="10.140625" customWidth="1"/>
    <col min="10" max="10" width="9.7109375" customWidth="1"/>
    <col min="11" max="11" width="9" customWidth="1"/>
    <col min="12" max="12" width="7.42578125" customWidth="1"/>
    <col min="13" max="13" width="7.85546875" customWidth="1"/>
    <col min="14" max="14" width="6.42578125" customWidth="1"/>
  </cols>
  <sheetData>
    <row r="1" spans="1:33">
      <c r="A1" s="42"/>
      <c r="B1" s="42"/>
      <c r="C1" s="42"/>
      <c r="D1" s="563" t="s">
        <v>426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</row>
    <row r="2" spans="1:33">
      <c r="A2" s="519" t="s">
        <v>7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</row>
    <row r="3" spans="1:33">
      <c r="A3" s="519" t="s">
        <v>3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</row>
    <row r="4" spans="1:33" ht="14.25" customHeight="1">
      <c r="A4" s="612" t="s">
        <v>5</v>
      </c>
      <c r="B4" s="612"/>
      <c r="C4" s="612"/>
      <c r="D4" s="612"/>
      <c r="E4" s="612"/>
      <c r="F4" s="612"/>
      <c r="G4" s="612"/>
      <c r="H4" s="612"/>
      <c r="I4" s="612"/>
      <c r="J4" s="612"/>
      <c r="K4" s="612"/>
      <c r="L4" s="612"/>
      <c r="M4" s="612"/>
      <c r="N4" s="612"/>
    </row>
    <row r="5" spans="1:33">
      <c r="A5" s="519" t="s">
        <v>318</v>
      </c>
      <c r="B5" s="519"/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19"/>
      <c r="N5" s="519"/>
    </row>
    <row r="6" spans="1:3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 t="s">
        <v>162</v>
      </c>
    </row>
    <row r="7" spans="1:33" s="6" customFormat="1" ht="12.75" customHeight="1">
      <c r="A7" s="520" t="s">
        <v>0</v>
      </c>
      <c r="B7" s="520" t="s">
        <v>8</v>
      </c>
      <c r="C7" s="520" t="s">
        <v>1</v>
      </c>
      <c r="D7" s="520" t="s">
        <v>157</v>
      </c>
      <c r="E7" s="520" t="s">
        <v>127</v>
      </c>
      <c r="F7" s="616" t="s">
        <v>149</v>
      </c>
      <c r="G7" s="617"/>
      <c r="H7" s="617"/>
      <c r="I7" s="617"/>
      <c r="J7" s="617"/>
      <c r="K7" s="617"/>
      <c r="L7" s="617"/>
      <c r="M7" s="617"/>
      <c r="N7" s="613" t="s">
        <v>124</v>
      </c>
    </row>
    <row r="8" spans="1:33" s="6" customFormat="1" ht="12.75" customHeight="1">
      <c r="A8" s="521"/>
      <c r="B8" s="521"/>
      <c r="C8" s="521"/>
      <c r="D8" s="521"/>
      <c r="E8" s="521"/>
      <c r="F8" s="502" t="s">
        <v>9</v>
      </c>
      <c r="G8" s="73" t="s">
        <v>10</v>
      </c>
      <c r="H8" s="73"/>
      <c r="I8" s="73"/>
      <c r="J8" s="73"/>
      <c r="K8" s="73"/>
      <c r="L8" s="74"/>
      <c r="M8" s="614" t="s">
        <v>148</v>
      </c>
      <c r="N8" s="613"/>
    </row>
    <row r="9" spans="1:33" s="6" customFormat="1" ht="93.75" customHeight="1">
      <c r="A9" s="522"/>
      <c r="B9" s="522"/>
      <c r="C9" s="522"/>
      <c r="D9" s="522"/>
      <c r="E9" s="522"/>
      <c r="F9" s="504"/>
      <c r="G9" s="120" t="s">
        <v>211</v>
      </c>
      <c r="H9" s="120" t="s">
        <v>214</v>
      </c>
      <c r="I9" s="120" t="s">
        <v>212</v>
      </c>
      <c r="J9" s="120" t="s">
        <v>311</v>
      </c>
      <c r="K9" s="216" t="s">
        <v>213</v>
      </c>
      <c r="L9" s="120" t="s">
        <v>11</v>
      </c>
      <c r="M9" s="615"/>
      <c r="N9" s="613"/>
    </row>
    <row r="10" spans="1:33" s="66" customFormat="1" ht="11.25">
      <c r="A10" s="114">
        <v>1</v>
      </c>
      <c r="B10" s="114">
        <v>2</v>
      </c>
      <c r="C10" s="114">
        <v>3</v>
      </c>
      <c r="D10" s="114">
        <v>4</v>
      </c>
      <c r="E10" s="114">
        <v>5</v>
      </c>
      <c r="F10" s="114">
        <v>6</v>
      </c>
      <c r="G10" s="114">
        <v>7</v>
      </c>
      <c r="H10" s="114">
        <v>8</v>
      </c>
      <c r="I10" s="114">
        <v>9</v>
      </c>
      <c r="J10" s="114">
        <v>10</v>
      </c>
      <c r="K10" s="114">
        <v>11</v>
      </c>
      <c r="L10" s="114">
        <v>12</v>
      </c>
      <c r="M10" s="114">
        <v>13</v>
      </c>
      <c r="N10" s="114">
        <v>14</v>
      </c>
    </row>
    <row r="11" spans="1:33" s="70" customFormat="1" ht="12">
      <c r="A11" s="50" t="s">
        <v>13</v>
      </c>
      <c r="B11" s="51"/>
      <c r="C11" s="52" t="s">
        <v>27</v>
      </c>
      <c r="D11" s="232">
        <f>D12</f>
        <v>21000</v>
      </c>
      <c r="E11" s="232">
        <f t="shared" ref="E11:M11" si="0">E12</f>
        <v>1599</v>
      </c>
      <c r="F11" s="232">
        <f t="shared" si="0"/>
        <v>1599</v>
      </c>
      <c r="G11" s="232">
        <f t="shared" si="0"/>
        <v>0</v>
      </c>
      <c r="H11" s="232">
        <f t="shared" si="0"/>
        <v>1599</v>
      </c>
      <c r="I11" s="232">
        <f t="shared" si="0"/>
        <v>0</v>
      </c>
      <c r="J11" s="232">
        <f t="shared" si="0"/>
        <v>0</v>
      </c>
      <c r="K11" s="232">
        <f t="shared" si="0"/>
        <v>0</v>
      </c>
      <c r="L11" s="232">
        <f t="shared" si="0"/>
        <v>0</v>
      </c>
      <c r="M11" s="232">
        <f t="shared" si="0"/>
        <v>0</v>
      </c>
      <c r="N11" s="238">
        <f>E11/D11*100</f>
        <v>7.6142857142857139</v>
      </c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</row>
    <row r="12" spans="1:33" s="72" customFormat="1" ht="12">
      <c r="A12" s="53" t="s">
        <v>12</v>
      </c>
      <c r="B12" s="54" t="s">
        <v>48</v>
      </c>
      <c r="C12" s="55" t="s">
        <v>64</v>
      </c>
      <c r="D12" s="235">
        <v>21000</v>
      </c>
      <c r="E12" s="235">
        <v>1599</v>
      </c>
      <c r="F12" s="235">
        <f>E12</f>
        <v>1599</v>
      </c>
      <c r="G12" s="235">
        <v>0</v>
      </c>
      <c r="H12" s="235">
        <f>F12</f>
        <v>1599</v>
      </c>
      <c r="I12" s="235"/>
      <c r="J12" s="235"/>
      <c r="K12" s="235">
        <v>0</v>
      </c>
      <c r="L12" s="235">
        <v>0</v>
      </c>
      <c r="M12" s="236">
        <v>0</v>
      </c>
      <c r="N12" s="281">
        <f t="shared" ref="N12:N32" si="1">E12/D12*100</f>
        <v>7.6142857142857139</v>
      </c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</row>
    <row r="13" spans="1:33" s="48" customFormat="1" ht="12">
      <c r="A13" s="51">
        <v>700</v>
      </c>
      <c r="B13" s="50"/>
      <c r="C13" s="58" t="s">
        <v>29</v>
      </c>
      <c r="D13" s="233">
        <f>D14</f>
        <v>11000</v>
      </c>
      <c r="E13" s="233">
        <f t="shared" ref="E13:M13" si="2">E14</f>
        <v>2801.81</v>
      </c>
      <c r="F13" s="233">
        <f t="shared" si="2"/>
        <v>2801.81</v>
      </c>
      <c r="G13" s="233">
        <f t="shared" si="2"/>
        <v>0</v>
      </c>
      <c r="H13" s="233">
        <f t="shared" si="2"/>
        <v>2801.81</v>
      </c>
      <c r="I13" s="233">
        <f t="shared" si="2"/>
        <v>0</v>
      </c>
      <c r="J13" s="233">
        <f t="shared" si="2"/>
        <v>0</v>
      </c>
      <c r="K13" s="233">
        <f t="shared" si="2"/>
        <v>0</v>
      </c>
      <c r="L13" s="233">
        <f t="shared" si="2"/>
        <v>0</v>
      </c>
      <c r="M13" s="233">
        <f t="shared" si="2"/>
        <v>0</v>
      </c>
      <c r="N13" s="238">
        <f t="shared" si="1"/>
        <v>25.471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</row>
    <row r="14" spans="1:33" s="72" customFormat="1" ht="12">
      <c r="A14" s="53" t="s">
        <v>12</v>
      </c>
      <c r="B14" s="53">
        <v>70005</v>
      </c>
      <c r="C14" s="55" t="s">
        <v>70</v>
      </c>
      <c r="D14" s="235">
        <v>11000</v>
      </c>
      <c r="E14" s="235">
        <v>2801.81</v>
      </c>
      <c r="F14" s="235">
        <v>2801.81</v>
      </c>
      <c r="G14" s="235">
        <v>0</v>
      </c>
      <c r="H14" s="235">
        <f>F14-G14</f>
        <v>2801.81</v>
      </c>
      <c r="I14" s="235"/>
      <c r="J14" s="235"/>
      <c r="K14" s="235"/>
      <c r="L14" s="235"/>
      <c r="M14" s="236"/>
      <c r="N14" s="281">
        <f t="shared" si="1"/>
        <v>25.471</v>
      </c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</row>
    <row r="15" spans="1:33" s="48" customFormat="1" ht="12">
      <c r="A15" s="59">
        <v>710</v>
      </c>
      <c r="B15" s="51"/>
      <c r="C15" s="58" t="s">
        <v>103</v>
      </c>
      <c r="D15" s="233">
        <f>D16+D17+D18</f>
        <v>412700</v>
      </c>
      <c r="E15" s="233">
        <f t="shared" ref="E15:M15" si="3">E16+E17+E18</f>
        <v>152335.95000000001</v>
      </c>
      <c r="F15" s="233">
        <f t="shared" si="3"/>
        <v>152335.95000000001</v>
      </c>
      <c r="G15" s="233">
        <f t="shared" si="3"/>
        <v>127726.41</v>
      </c>
      <c r="H15" s="233">
        <f t="shared" si="3"/>
        <v>24609.540000000008</v>
      </c>
      <c r="I15" s="233">
        <f t="shared" si="3"/>
        <v>0</v>
      </c>
      <c r="J15" s="233">
        <f t="shared" si="3"/>
        <v>0</v>
      </c>
      <c r="K15" s="233">
        <f t="shared" si="3"/>
        <v>0</v>
      </c>
      <c r="L15" s="233">
        <f t="shared" si="3"/>
        <v>0</v>
      </c>
      <c r="M15" s="233">
        <f t="shared" si="3"/>
        <v>0</v>
      </c>
      <c r="N15" s="238">
        <f t="shared" si="1"/>
        <v>36.912030530651805</v>
      </c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</row>
    <row r="16" spans="1:33" s="72" customFormat="1" ht="12.75" customHeight="1">
      <c r="A16" s="618" t="s">
        <v>12</v>
      </c>
      <c r="B16" s="60">
        <v>71013</v>
      </c>
      <c r="C16" s="55" t="s">
        <v>104</v>
      </c>
      <c r="D16" s="235">
        <v>99000</v>
      </c>
      <c r="E16" s="235">
        <v>0</v>
      </c>
      <c r="F16" s="235">
        <v>0</v>
      </c>
      <c r="G16" s="457"/>
      <c r="H16" s="457"/>
      <c r="I16" s="235"/>
      <c r="J16" s="235"/>
      <c r="K16" s="235"/>
      <c r="L16" s="235"/>
      <c r="M16" s="236"/>
      <c r="N16" s="281">
        <f t="shared" si="1"/>
        <v>0</v>
      </c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</row>
    <row r="17" spans="1:33" s="72" customFormat="1" ht="12.75" customHeight="1">
      <c r="A17" s="619"/>
      <c r="B17" s="60">
        <v>71014</v>
      </c>
      <c r="C17" s="57" t="s">
        <v>72</v>
      </c>
      <c r="D17" s="235">
        <v>24000</v>
      </c>
      <c r="E17" s="235">
        <v>9225</v>
      </c>
      <c r="F17" s="235">
        <v>9225</v>
      </c>
      <c r="G17" s="457"/>
      <c r="H17" s="457">
        <f>F17-G17</f>
        <v>9225</v>
      </c>
      <c r="I17" s="235"/>
      <c r="J17" s="235"/>
      <c r="K17" s="235"/>
      <c r="L17" s="235"/>
      <c r="M17" s="236"/>
      <c r="N17" s="281">
        <f t="shared" si="1"/>
        <v>38.4375</v>
      </c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</row>
    <row r="18" spans="1:33" s="72" customFormat="1" ht="13.5" customHeight="1">
      <c r="A18" s="620"/>
      <c r="B18" s="60">
        <v>71015</v>
      </c>
      <c r="C18" s="57" t="s">
        <v>73</v>
      </c>
      <c r="D18" s="235">
        <v>289700</v>
      </c>
      <c r="E18" s="235">
        <v>143110.95000000001</v>
      </c>
      <c r="F18" s="235">
        <f>E18</f>
        <v>143110.95000000001</v>
      </c>
      <c r="G18" s="457">
        <f>'tab4'!G25</f>
        <v>127726.41</v>
      </c>
      <c r="H18" s="457">
        <f t="shared" ref="H18" si="4">F18-G18</f>
        <v>15384.540000000008</v>
      </c>
      <c r="I18" s="235"/>
      <c r="J18" s="235"/>
      <c r="K18" s="235"/>
      <c r="L18" s="235"/>
      <c r="M18" s="236"/>
      <c r="N18" s="281">
        <f t="shared" si="1"/>
        <v>49.399706593027275</v>
      </c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</row>
    <row r="19" spans="1:33" s="48" customFormat="1" ht="12">
      <c r="A19" s="61">
        <v>750</v>
      </c>
      <c r="B19" s="51"/>
      <c r="C19" s="56" t="s">
        <v>31</v>
      </c>
      <c r="D19" s="233">
        <f>D20+D21+D22</f>
        <v>126976</v>
      </c>
      <c r="E19" s="233">
        <f t="shared" ref="E19:G19" si="5">E20+E21+E22</f>
        <v>76609.509999999995</v>
      </c>
      <c r="F19" s="233">
        <f t="shared" si="5"/>
        <v>76609.509999999995</v>
      </c>
      <c r="G19" s="233">
        <f t="shared" si="5"/>
        <v>69069</v>
      </c>
      <c r="H19" s="233">
        <f t="shared" ref="H19" si="6">H20+H21+H22</f>
        <v>7540.5099999999984</v>
      </c>
      <c r="I19" s="233">
        <f t="shared" ref="I19:M19" si="7">I20+I21</f>
        <v>0</v>
      </c>
      <c r="J19" s="233">
        <f t="shared" si="7"/>
        <v>0</v>
      </c>
      <c r="K19" s="233">
        <f t="shared" si="7"/>
        <v>0</v>
      </c>
      <c r="L19" s="233">
        <f t="shared" si="7"/>
        <v>0</v>
      </c>
      <c r="M19" s="233">
        <f t="shared" si="7"/>
        <v>0</v>
      </c>
      <c r="N19" s="238">
        <f t="shared" si="1"/>
        <v>60.333850491431448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</row>
    <row r="20" spans="1:33" s="72" customFormat="1" ht="12">
      <c r="A20" s="618" t="s">
        <v>12</v>
      </c>
      <c r="B20" s="60">
        <v>75011</v>
      </c>
      <c r="C20" s="57" t="s">
        <v>75</v>
      </c>
      <c r="D20" s="235">
        <v>104800</v>
      </c>
      <c r="E20" s="235">
        <v>57279</v>
      </c>
      <c r="F20" s="235">
        <f>E20</f>
        <v>57279</v>
      </c>
      <c r="G20" s="235">
        <f>F20</f>
        <v>57279</v>
      </c>
      <c r="H20" s="235">
        <v>0</v>
      </c>
      <c r="I20" s="235"/>
      <c r="J20" s="235"/>
      <c r="K20" s="235"/>
      <c r="L20" s="235"/>
      <c r="M20" s="236"/>
      <c r="N20" s="281">
        <f t="shared" si="1"/>
        <v>54.655534351145043</v>
      </c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</row>
    <row r="21" spans="1:33" s="72" customFormat="1" ht="12.75" customHeight="1">
      <c r="A21" s="619"/>
      <c r="B21" s="60">
        <v>75045</v>
      </c>
      <c r="C21" s="57" t="s">
        <v>77</v>
      </c>
      <c r="D21" s="235">
        <v>20000</v>
      </c>
      <c r="E21" s="235">
        <v>17154.509999999998</v>
      </c>
      <c r="F21" s="235">
        <f>E21</f>
        <v>17154.509999999998</v>
      </c>
      <c r="G21" s="237">
        <f>11790</f>
        <v>11790</v>
      </c>
      <c r="H21" s="235">
        <f>F21-G21-J21</f>
        <v>5364.5099999999984</v>
      </c>
      <c r="I21" s="235"/>
      <c r="J21" s="235">
        <v>0</v>
      </c>
      <c r="K21" s="235"/>
      <c r="L21" s="235"/>
      <c r="M21" s="236"/>
      <c r="N21" s="281">
        <f t="shared" si="1"/>
        <v>85.772549999999995</v>
      </c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</row>
    <row r="22" spans="1:33" s="72" customFormat="1" ht="12.75" customHeight="1">
      <c r="A22" s="620"/>
      <c r="B22" s="450">
        <v>75095</v>
      </c>
      <c r="C22" s="459" t="s">
        <v>74</v>
      </c>
      <c r="D22" s="458">
        <v>2176</v>
      </c>
      <c r="E22" s="235">
        <v>2176</v>
      </c>
      <c r="F22" s="235">
        <v>2176</v>
      </c>
      <c r="G22" s="237"/>
      <c r="H22" s="235">
        <v>2176</v>
      </c>
      <c r="I22" s="235"/>
      <c r="J22" s="235"/>
      <c r="K22" s="235"/>
      <c r="L22" s="235"/>
      <c r="M22" s="236"/>
      <c r="N22" s="281">
        <f t="shared" si="1"/>
        <v>100</v>
      </c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</row>
    <row r="23" spans="1:33" s="48" customFormat="1" ht="12.75" customHeight="1">
      <c r="A23" s="51">
        <v>754</v>
      </c>
      <c r="B23" s="51"/>
      <c r="C23" s="501" t="s">
        <v>106</v>
      </c>
      <c r="D23" s="233">
        <f>D24</f>
        <v>2969200</v>
      </c>
      <c r="E23" s="233">
        <f t="shared" ref="E23:M23" si="8">E24</f>
        <v>1505781.36</v>
      </c>
      <c r="F23" s="233">
        <f t="shared" si="8"/>
        <v>1505781.36</v>
      </c>
      <c r="G23" s="233">
        <f t="shared" si="8"/>
        <v>1330190.8400000001</v>
      </c>
      <c r="H23" s="233">
        <f t="shared" si="8"/>
        <v>129328.80000000002</v>
      </c>
      <c r="I23" s="233">
        <f t="shared" si="8"/>
        <v>0</v>
      </c>
      <c r="J23" s="233">
        <f t="shared" si="8"/>
        <v>46261.72</v>
      </c>
      <c r="K23" s="233">
        <f t="shared" si="8"/>
        <v>0</v>
      </c>
      <c r="L23" s="233">
        <f t="shared" si="8"/>
        <v>0</v>
      </c>
      <c r="M23" s="233">
        <f t="shared" si="8"/>
        <v>0</v>
      </c>
      <c r="N23" s="238">
        <f t="shared" si="1"/>
        <v>50.713369257712515</v>
      </c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</row>
    <row r="24" spans="1:33" s="72" customFormat="1" ht="12" customHeight="1">
      <c r="A24" s="65"/>
      <c r="B24" s="60">
        <v>75411</v>
      </c>
      <c r="C24" s="57" t="s">
        <v>108</v>
      </c>
      <c r="D24" s="235">
        <v>2969200</v>
      </c>
      <c r="E24" s="235">
        <v>1505781.36</v>
      </c>
      <c r="F24" s="235">
        <f>E24</f>
        <v>1505781.36</v>
      </c>
      <c r="G24" s="235">
        <v>1330190.8400000001</v>
      </c>
      <c r="H24" s="235">
        <f>F24-G24-J24</f>
        <v>129328.80000000002</v>
      </c>
      <c r="I24" s="235"/>
      <c r="J24" s="235">
        <v>46261.72</v>
      </c>
      <c r="K24" s="235"/>
      <c r="L24" s="235"/>
      <c r="M24" s="236"/>
      <c r="N24" s="281">
        <f t="shared" si="1"/>
        <v>50.713369257712515</v>
      </c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</row>
    <row r="25" spans="1:33" s="48" customFormat="1" ht="13.5" customHeight="1">
      <c r="A25" s="51">
        <v>851</v>
      </c>
      <c r="B25" s="51"/>
      <c r="C25" s="62" t="s">
        <v>34</v>
      </c>
      <c r="D25" s="233">
        <f>D26</f>
        <v>2076000</v>
      </c>
      <c r="E25" s="233">
        <f t="shared" ref="E25:M25" si="9">E26</f>
        <v>1280878.8500000001</v>
      </c>
      <c r="F25" s="233">
        <f t="shared" si="9"/>
        <v>1280878.8500000001</v>
      </c>
      <c r="G25" s="233">
        <f t="shared" si="9"/>
        <v>0</v>
      </c>
      <c r="H25" s="233">
        <f t="shared" si="9"/>
        <v>1280878.8500000001</v>
      </c>
      <c r="I25" s="233">
        <f t="shared" si="9"/>
        <v>0</v>
      </c>
      <c r="J25" s="233">
        <f t="shared" si="9"/>
        <v>0</v>
      </c>
      <c r="K25" s="233">
        <f t="shared" si="9"/>
        <v>0</v>
      </c>
      <c r="L25" s="233">
        <f t="shared" si="9"/>
        <v>0</v>
      </c>
      <c r="M25" s="233">
        <f t="shared" si="9"/>
        <v>0</v>
      </c>
      <c r="N25" s="238">
        <f t="shared" si="1"/>
        <v>61.699366570327562</v>
      </c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</row>
    <row r="26" spans="1:33" s="72" customFormat="1" ht="12">
      <c r="A26" s="65"/>
      <c r="B26" s="60">
        <v>85156</v>
      </c>
      <c r="C26" s="63" t="s">
        <v>87</v>
      </c>
      <c r="D26" s="235">
        <v>2076000</v>
      </c>
      <c r="E26" s="235">
        <v>1280878.8500000001</v>
      </c>
      <c r="F26" s="235">
        <f>E26</f>
        <v>1280878.8500000001</v>
      </c>
      <c r="G26" s="235"/>
      <c r="H26" s="235">
        <f>F26</f>
        <v>1280878.8500000001</v>
      </c>
      <c r="I26" s="235"/>
      <c r="J26" s="235"/>
      <c r="K26" s="235"/>
      <c r="L26" s="235"/>
      <c r="M26" s="236"/>
      <c r="N26" s="281">
        <f t="shared" si="1"/>
        <v>61.699366570327562</v>
      </c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</row>
    <row r="27" spans="1:33" s="48" customFormat="1" ht="12">
      <c r="A27" s="51">
        <v>852</v>
      </c>
      <c r="B27" s="51"/>
      <c r="C27" s="56" t="s">
        <v>35</v>
      </c>
      <c r="D27" s="233">
        <f>SUM(D28:D29)</f>
        <v>768500</v>
      </c>
      <c r="E27" s="233">
        <f t="shared" ref="E27:M27" si="10">SUM(E28:E29)</f>
        <v>374623.51</v>
      </c>
      <c r="F27" s="233">
        <f t="shared" si="10"/>
        <v>374623.51</v>
      </c>
      <c r="G27" s="233">
        <f t="shared" si="10"/>
        <v>303532.37</v>
      </c>
      <c r="H27" s="233">
        <f t="shared" si="10"/>
        <v>71001.649999999994</v>
      </c>
      <c r="I27" s="233">
        <f t="shared" si="10"/>
        <v>0</v>
      </c>
      <c r="J27" s="233">
        <f t="shared" si="10"/>
        <v>89.49</v>
      </c>
      <c r="K27" s="233">
        <f t="shared" si="10"/>
        <v>0</v>
      </c>
      <c r="L27" s="233">
        <f t="shared" si="10"/>
        <v>0</v>
      </c>
      <c r="M27" s="233">
        <f t="shared" si="10"/>
        <v>0</v>
      </c>
      <c r="N27" s="238">
        <f t="shared" si="1"/>
        <v>48.747366297983085</v>
      </c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</row>
    <row r="28" spans="1:33" s="72" customFormat="1" ht="12">
      <c r="A28" s="618"/>
      <c r="B28" s="60">
        <v>85203</v>
      </c>
      <c r="C28" s="57" t="s">
        <v>90</v>
      </c>
      <c r="D28" s="235">
        <v>449000</v>
      </c>
      <c r="E28" s="235">
        <v>233610.31</v>
      </c>
      <c r="F28" s="237">
        <f>E28</f>
        <v>233610.31</v>
      </c>
      <c r="G28" s="237">
        <f>'tab4'!G61</f>
        <v>190832.04</v>
      </c>
      <c r="H28" s="235">
        <f>F28-G28-J28</f>
        <v>42688.779999999992</v>
      </c>
      <c r="I28" s="235"/>
      <c r="J28" s="235">
        <v>89.49</v>
      </c>
      <c r="K28" s="235"/>
      <c r="L28" s="235"/>
      <c r="M28" s="236">
        <v>0</v>
      </c>
      <c r="N28" s="281">
        <f t="shared" si="1"/>
        <v>52.029022271714922</v>
      </c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</row>
    <row r="29" spans="1:33" s="72" customFormat="1" ht="22.5">
      <c r="A29" s="620"/>
      <c r="B29" s="60">
        <v>85205</v>
      </c>
      <c r="C29" s="173" t="s">
        <v>210</v>
      </c>
      <c r="D29" s="235">
        <v>319500</v>
      </c>
      <c r="E29" s="235">
        <v>141013.20000000001</v>
      </c>
      <c r="F29" s="235">
        <f>E29</f>
        <v>141013.20000000001</v>
      </c>
      <c r="G29" s="235">
        <f>'tab4'!G63</f>
        <v>112700.33</v>
      </c>
      <c r="H29" s="235">
        <f>F29-G29-J29</f>
        <v>28312.87000000001</v>
      </c>
      <c r="I29" s="235"/>
      <c r="J29" s="235"/>
      <c r="K29" s="235"/>
      <c r="L29" s="235"/>
      <c r="M29" s="236"/>
      <c r="N29" s="281">
        <f t="shared" si="1"/>
        <v>44.135586854460094</v>
      </c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</row>
    <row r="30" spans="1:33" s="48" customFormat="1" ht="15" customHeight="1">
      <c r="A30" s="51">
        <v>853</v>
      </c>
      <c r="B30" s="51"/>
      <c r="C30" s="56" t="s">
        <v>115</v>
      </c>
      <c r="D30" s="233">
        <f>D31</f>
        <v>78000</v>
      </c>
      <c r="E30" s="233">
        <f t="shared" ref="E30:M30" si="11">E31</f>
        <v>38646.17</v>
      </c>
      <c r="F30" s="233">
        <f t="shared" si="11"/>
        <v>38646.17</v>
      </c>
      <c r="G30" s="233">
        <f t="shared" si="11"/>
        <v>27944</v>
      </c>
      <c r="H30" s="233">
        <f t="shared" si="11"/>
        <v>10702.169999999998</v>
      </c>
      <c r="I30" s="233">
        <f t="shared" si="11"/>
        <v>0</v>
      </c>
      <c r="J30" s="233">
        <f t="shared" si="11"/>
        <v>0</v>
      </c>
      <c r="K30" s="233">
        <f t="shared" si="11"/>
        <v>0</v>
      </c>
      <c r="L30" s="233">
        <f t="shared" si="11"/>
        <v>0</v>
      </c>
      <c r="M30" s="233">
        <f t="shared" si="11"/>
        <v>0</v>
      </c>
      <c r="N30" s="238">
        <f t="shared" si="1"/>
        <v>49.546371794871789</v>
      </c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</row>
    <row r="31" spans="1:33" s="72" customFormat="1" ht="12" customHeight="1">
      <c r="A31" s="53"/>
      <c r="B31" s="53">
        <v>85321</v>
      </c>
      <c r="C31" s="57" t="s">
        <v>116</v>
      </c>
      <c r="D31" s="235">
        <v>78000</v>
      </c>
      <c r="E31" s="235">
        <v>38646.17</v>
      </c>
      <c r="F31" s="235">
        <f>E31</f>
        <v>38646.17</v>
      </c>
      <c r="G31" s="235">
        <f>'tab4'!G69</f>
        <v>27944</v>
      </c>
      <c r="H31" s="235">
        <f>F31-G31</f>
        <v>10702.169999999998</v>
      </c>
      <c r="I31" s="235"/>
      <c r="J31" s="235"/>
      <c r="K31" s="235"/>
      <c r="L31" s="235"/>
      <c r="M31" s="236"/>
      <c r="N31" s="281">
        <f t="shared" si="1"/>
        <v>49.546371794871789</v>
      </c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</row>
    <row r="32" spans="1:33" s="48" customFormat="1" ht="12">
      <c r="A32" s="573" t="s">
        <v>26</v>
      </c>
      <c r="B32" s="573"/>
      <c r="C32" s="573"/>
      <c r="D32" s="234">
        <f>D11+D13+D15+D19+D23+D25+D27+D30</f>
        <v>6463376</v>
      </c>
      <c r="E32" s="234">
        <f t="shared" ref="E32:J32" si="12">E11+E13+E15+E19+E23+E25+E27+E30</f>
        <v>3433276.16</v>
      </c>
      <c r="F32" s="234">
        <f t="shared" si="12"/>
        <v>3433276.16</v>
      </c>
      <c r="G32" s="234">
        <f t="shared" si="12"/>
        <v>1858462.62</v>
      </c>
      <c r="H32" s="234">
        <f t="shared" si="12"/>
        <v>1528462.33</v>
      </c>
      <c r="I32" s="234">
        <f t="shared" si="12"/>
        <v>0</v>
      </c>
      <c r="J32" s="234">
        <f t="shared" si="12"/>
        <v>46351.21</v>
      </c>
      <c r="K32" s="234">
        <f t="shared" ref="K32:M32" si="13">K11+K13+K15+K19+K23+K25+K27+K30</f>
        <v>0</v>
      </c>
      <c r="L32" s="234">
        <f t="shared" si="13"/>
        <v>0</v>
      </c>
      <c r="M32" s="234">
        <f t="shared" si="13"/>
        <v>0</v>
      </c>
      <c r="N32" s="238">
        <f t="shared" si="1"/>
        <v>53.11892979767849</v>
      </c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</row>
  </sheetData>
  <mergeCells count="18">
    <mergeCell ref="A32:C32"/>
    <mergeCell ref="N7:N9"/>
    <mergeCell ref="M8:M9"/>
    <mergeCell ref="F8:F9"/>
    <mergeCell ref="D7:D9"/>
    <mergeCell ref="F7:M7"/>
    <mergeCell ref="A7:A9"/>
    <mergeCell ref="B7:B9"/>
    <mergeCell ref="C7:C9"/>
    <mergeCell ref="E7:E9"/>
    <mergeCell ref="A16:A18"/>
    <mergeCell ref="A28:A29"/>
    <mergeCell ref="A20:A22"/>
    <mergeCell ref="D1:N1"/>
    <mergeCell ref="A2:N2"/>
    <mergeCell ref="A3:N3"/>
    <mergeCell ref="A4:N4"/>
    <mergeCell ref="A5:N5"/>
  </mergeCells>
  <phoneticPr fontId="0" type="noConversion"/>
  <pageMargins left="0.60416666666666663" right="0.19685039370078741" top="0.74803149606299213" bottom="0.78740157480314965" header="0.27559055118110237" footer="0.51181102362204722"/>
  <pageSetup paperSize="9" orientation="landscape" r:id="rId1"/>
  <headerFooter alignWithMargins="0">
    <oddFooter>&amp;C&amp;"Times New (W1),Normalny"Tabela Nr 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AG16"/>
  <sheetViews>
    <sheetView view="pageLayout" workbookViewId="0">
      <selection activeCell="H30" sqref="H30:I30"/>
    </sheetView>
  </sheetViews>
  <sheetFormatPr defaultRowHeight="12.75"/>
  <cols>
    <col min="1" max="1" width="5" customWidth="1"/>
    <col min="2" max="2" width="6.5703125" customWidth="1"/>
    <col min="3" max="3" width="21.5703125" customWidth="1"/>
    <col min="4" max="4" width="8.7109375" customWidth="1"/>
    <col min="5" max="5" width="7" customWidth="1"/>
    <col min="6" max="6" width="10" customWidth="1"/>
    <col min="7" max="7" width="12.7109375" customWidth="1"/>
    <col min="8" max="10" width="8.42578125" customWidth="1"/>
    <col min="11" max="11" width="11" customWidth="1"/>
    <col min="12" max="12" width="8.28515625" customWidth="1"/>
    <col min="13" max="13" width="8.140625" customWidth="1"/>
  </cols>
  <sheetData>
    <row r="1" spans="1:33">
      <c r="A1" s="42"/>
      <c r="B1" s="42"/>
      <c r="C1" s="42"/>
      <c r="D1" s="42"/>
      <c r="E1" s="42"/>
      <c r="F1" s="42"/>
      <c r="G1" s="42"/>
      <c r="H1" s="42"/>
      <c r="I1" s="42"/>
      <c r="J1" s="42"/>
      <c r="K1" s="563" t="s">
        <v>284</v>
      </c>
      <c r="L1" s="563"/>
      <c r="M1" s="563"/>
      <c r="N1" s="563"/>
    </row>
    <row r="2" spans="1:3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33">
      <c r="A3" s="519" t="s">
        <v>7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</row>
    <row r="4" spans="1:33">
      <c r="A4" s="519" t="s">
        <v>3</v>
      </c>
      <c r="B4" s="519"/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  <c r="N4" s="519"/>
    </row>
    <row r="5" spans="1:33" ht="15.75" customHeight="1">
      <c r="A5" s="612" t="s">
        <v>6</v>
      </c>
      <c r="B5" s="612"/>
      <c r="C5" s="612"/>
      <c r="D5" s="612"/>
      <c r="E5" s="612"/>
      <c r="F5" s="612"/>
      <c r="G5" s="612"/>
      <c r="H5" s="612"/>
      <c r="I5" s="612"/>
      <c r="J5" s="612"/>
      <c r="K5" s="612"/>
      <c r="L5" s="612"/>
      <c r="M5" s="612"/>
      <c r="N5" s="612"/>
    </row>
    <row r="6" spans="1:33">
      <c r="A6" s="519" t="s">
        <v>318</v>
      </c>
      <c r="B6" s="519"/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</row>
    <row r="7" spans="1:3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33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 t="s">
        <v>143</v>
      </c>
    </row>
    <row r="9" spans="1:33" s="6" customFormat="1" ht="12.75" customHeight="1">
      <c r="A9" s="520" t="s">
        <v>0</v>
      </c>
      <c r="B9" s="520" t="s">
        <v>8</v>
      </c>
      <c r="C9" s="520" t="s">
        <v>1</v>
      </c>
      <c r="D9" s="520" t="s">
        <v>157</v>
      </c>
      <c r="E9" s="520" t="s">
        <v>127</v>
      </c>
      <c r="F9" s="616" t="s">
        <v>149</v>
      </c>
      <c r="G9" s="617"/>
      <c r="H9" s="617"/>
      <c r="I9" s="617"/>
      <c r="J9" s="617"/>
      <c r="K9" s="617"/>
      <c r="L9" s="617"/>
      <c r="M9" s="617"/>
      <c r="N9" s="613" t="s">
        <v>124</v>
      </c>
    </row>
    <row r="10" spans="1:33" s="6" customFormat="1" ht="12.75" customHeight="1">
      <c r="A10" s="521"/>
      <c r="B10" s="521"/>
      <c r="C10" s="521"/>
      <c r="D10" s="521"/>
      <c r="E10" s="521"/>
      <c r="F10" s="520" t="s">
        <v>9</v>
      </c>
      <c r="G10" s="73" t="s">
        <v>10</v>
      </c>
      <c r="H10" s="73"/>
      <c r="I10" s="73"/>
      <c r="J10" s="73"/>
      <c r="K10" s="73"/>
      <c r="L10" s="74"/>
      <c r="M10" s="614" t="s">
        <v>148</v>
      </c>
      <c r="N10" s="613"/>
    </row>
    <row r="11" spans="1:33" s="6" customFormat="1" ht="36" customHeight="1">
      <c r="A11" s="522"/>
      <c r="B11" s="522"/>
      <c r="C11" s="522"/>
      <c r="D11" s="522"/>
      <c r="E11" s="522"/>
      <c r="F11" s="522"/>
      <c r="G11" s="120" t="s">
        <v>211</v>
      </c>
      <c r="H11" s="120" t="s">
        <v>214</v>
      </c>
      <c r="I11" s="120" t="s">
        <v>212</v>
      </c>
      <c r="J11" s="120" t="s">
        <v>311</v>
      </c>
      <c r="K11" s="216" t="s">
        <v>213</v>
      </c>
      <c r="L11" s="120" t="s">
        <v>11</v>
      </c>
      <c r="M11" s="615"/>
      <c r="N11" s="613"/>
    </row>
    <row r="12" spans="1:33" s="66" customFormat="1" ht="11.25">
      <c r="A12" s="49">
        <v>1</v>
      </c>
      <c r="B12" s="49">
        <v>2</v>
      </c>
      <c r="C12" s="49">
        <v>3</v>
      </c>
      <c r="D12" s="49">
        <v>4</v>
      </c>
      <c r="E12" s="49">
        <v>5</v>
      </c>
      <c r="F12" s="49">
        <v>6</v>
      </c>
      <c r="G12" s="49">
        <v>7</v>
      </c>
      <c r="H12" s="49">
        <v>8</v>
      </c>
      <c r="I12" s="178">
        <v>9</v>
      </c>
      <c r="J12" s="178">
        <v>10</v>
      </c>
      <c r="K12" s="178">
        <v>11</v>
      </c>
      <c r="L12" s="178">
        <v>12</v>
      </c>
      <c r="M12" s="178">
        <v>13</v>
      </c>
      <c r="N12" s="178">
        <v>14</v>
      </c>
    </row>
    <row r="13" spans="1:33" s="48" customFormat="1" ht="12">
      <c r="A13" s="51">
        <v>750</v>
      </c>
      <c r="B13" s="51"/>
      <c r="C13" s="56" t="s">
        <v>31</v>
      </c>
      <c r="D13" s="327">
        <f>D14</f>
        <v>500</v>
      </c>
      <c r="E13" s="134">
        <f>E14</f>
        <v>0</v>
      </c>
      <c r="F13" s="134">
        <f>F14</f>
        <v>0</v>
      </c>
      <c r="G13" s="75"/>
      <c r="H13" s="75"/>
      <c r="I13" s="75"/>
      <c r="J13" s="75"/>
      <c r="K13" s="75"/>
      <c r="L13" s="75"/>
      <c r="M13" s="75"/>
      <c r="N13" s="137">
        <f>(F13+M13)/D13*100</f>
        <v>0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</row>
    <row r="14" spans="1:33" s="72" customFormat="1" ht="12">
      <c r="A14" s="65"/>
      <c r="B14" s="60">
        <v>75045</v>
      </c>
      <c r="C14" s="57" t="s">
        <v>286</v>
      </c>
      <c r="D14" s="328">
        <v>500</v>
      </c>
      <c r="E14" s="135">
        <v>0</v>
      </c>
      <c r="F14" s="135">
        <v>0</v>
      </c>
      <c r="G14" s="76"/>
      <c r="H14" s="77"/>
      <c r="I14" s="77"/>
      <c r="J14" s="77"/>
      <c r="K14" s="77"/>
      <c r="L14" s="77"/>
      <c r="M14" s="78"/>
      <c r="N14" s="138">
        <f>(F14+M14)/D14*100</f>
        <v>0</v>
      </c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</row>
    <row r="15" spans="1:33" s="48" customFormat="1" ht="12">
      <c r="A15" s="573" t="s">
        <v>26</v>
      </c>
      <c r="B15" s="573"/>
      <c r="C15" s="573"/>
      <c r="D15" s="329">
        <f>D13</f>
        <v>500</v>
      </c>
      <c r="E15" s="136">
        <f>E13</f>
        <v>0</v>
      </c>
      <c r="F15" s="136">
        <f>F13</f>
        <v>0</v>
      </c>
      <c r="G15" s="79"/>
      <c r="H15" s="79"/>
      <c r="I15" s="79"/>
      <c r="J15" s="79"/>
      <c r="K15" s="79"/>
      <c r="L15" s="79"/>
      <c r="M15" s="79"/>
      <c r="N15" s="137">
        <f>(F15+M15)/D15*100</f>
        <v>0</v>
      </c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</row>
    <row r="16" spans="1:33">
      <c r="G16" s="39"/>
    </row>
  </sheetData>
  <mergeCells count="15">
    <mergeCell ref="A15:C15"/>
    <mergeCell ref="N9:N11"/>
    <mergeCell ref="M10:M11"/>
    <mergeCell ref="F10:F11"/>
    <mergeCell ref="F9:M9"/>
    <mergeCell ref="A9:A11"/>
    <mergeCell ref="B9:B11"/>
    <mergeCell ref="C9:C11"/>
    <mergeCell ref="K1:N1"/>
    <mergeCell ref="D9:D11"/>
    <mergeCell ref="A3:N3"/>
    <mergeCell ref="A4:N4"/>
    <mergeCell ref="A5:N5"/>
    <mergeCell ref="A6:N6"/>
    <mergeCell ref="E9:E11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landscape" r:id="rId1"/>
  <headerFooter alignWithMargins="0">
    <oddFooter xml:space="preserve">&amp;C&amp;"Times New (W1),Normalny"Tabela Nr 12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27"/>
  <sheetViews>
    <sheetView view="pageLayout" workbookViewId="0">
      <selection activeCell="H23" sqref="H23"/>
    </sheetView>
  </sheetViews>
  <sheetFormatPr defaultRowHeight="12.75"/>
  <cols>
    <col min="1" max="1" width="7.140625" customWidth="1"/>
    <col min="2" max="2" width="33.42578125" customWidth="1"/>
    <col min="3" max="3" width="10.5703125" customWidth="1"/>
    <col min="4" max="4" width="15.7109375" customWidth="1"/>
    <col min="5" max="5" width="14.5703125" customWidth="1"/>
  </cols>
  <sheetData>
    <row r="1" spans="1:5">
      <c r="A1" s="239"/>
      <c r="B1" s="239"/>
      <c r="C1" s="239"/>
      <c r="D1" s="239"/>
      <c r="E1" s="240" t="s">
        <v>285</v>
      </c>
    </row>
    <row r="2" spans="1:5" ht="15.75">
      <c r="A2" s="587" t="s">
        <v>217</v>
      </c>
      <c r="B2" s="621"/>
      <c r="C2" s="621"/>
      <c r="D2" s="621"/>
      <c r="E2" s="621"/>
    </row>
    <row r="3" spans="1:5" ht="15.75">
      <c r="A3" s="621" t="s">
        <v>218</v>
      </c>
      <c r="B3" s="621"/>
      <c r="C3" s="621"/>
      <c r="D3" s="621"/>
      <c r="E3" s="621"/>
    </row>
    <row r="4" spans="1:5" ht="15.75">
      <c r="A4" s="621" t="s">
        <v>414</v>
      </c>
      <c r="B4" s="621"/>
      <c r="C4" s="621"/>
      <c r="D4" s="621"/>
      <c r="E4" s="621"/>
    </row>
    <row r="5" spans="1:5">
      <c r="A5" s="239"/>
      <c r="B5" s="239"/>
      <c r="C5" s="239"/>
      <c r="D5" s="239"/>
      <c r="E5" s="241" t="s">
        <v>162</v>
      </c>
    </row>
    <row r="6" spans="1:5" ht="38.25">
      <c r="A6" s="242" t="s">
        <v>173</v>
      </c>
      <c r="B6" s="242" t="s">
        <v>156</v>
      </c>
      <c r="C6" s="243" t="s">
        <v>219</v>
      </c>
      <c r="D6" s="243" t="s">
        <v>135</v>
      </c>
      <c r="E6" s="243" t="s">
        <v>248</v>
      </c>
    </row>
    <row r="7" spans="1:5">
      <c r="A7" s="244">
        <v>1</v>
      </c>
      <c r="B7" s="244">
        <v>2</v>
      </c>
      <c r="C7" s="244">
        <v>3</v>
      </c>
      <c r="D7" s="244">
        <v>4</v>
      </c>
      <c r="E7" s="244">
        <v>5</v>
      </c>
    </row>
    <row r="8" spans="1:5">
      <c r="A8" s="622" t="s">
        <v>220</v>
      </c>
      <c r="B8" s="622"/>
      <c r="C8" s="245"/>
      <c r="D8" s="432">
        <f>D9+D10+D11+D12+D17</f>
        <v>10281187.57</v>
      </c>
      <c r="E8" s="432">
        <f>E9+E10+E11+E12+E17</f>
        <v>2759836.38</v>
      </c>
    </row>
    <row r="9" spans="1:5">
      <c r="A9" s="245" t="s">
        <v>181</v>
      </c>
      <c r="B9" s="430" t="s">
        <v>221</v>
      </c>
      <c r="C9" s="245" t="s">
        <v>222</v>
      </c>
      <c r="D9" s="251">
        <v>3692679.75</v>
      </c>
      <c r="E9" s="246">
        <v>0</v>
      </c>
    </row>
    <row r="10" spans="1:5">
      <c r="A10" s="245" t="s">
        <v>182</v>
      </c>
      <c r="B10" s="430" t="s">
        <v>223</v>
      </c>
      <c r="C10" s="245" t="s">
        <v>222</v>
      </c>
      <c r="D10" s="251">
        <v>1580624.65</v>
      </c>
      <c r="E10" s="246">
        <v>1580624.65</v>
      </c>
    </row>
    <row r="11" spans="1:5" ht="38.25">
      <c r="A11" s="245" t="s">
        <v>183</v>
      </c>
      <c r="B11" s="431" t="s">
        <v>247</v>
      </c>
      <c r="C11" s="245" t="s">
        <v>224</v>
      </c>
      <c r="D11" s="251">
        <v>2428671.44</v>
      </c>
      <c r="E11" s="246">
        <v>0</v>
      </c>
    </row>
    <row r="12" spans="1:5">
      <c r="A12" s="245" t="s">
        <v>198</v>
      </c>
      <c r="B12" s="430" t="s">
        <v>225</v>
      </c>
      <c r="C12" s="245" t="s">
        <v>226</v>
      </c>
      <c r="D12" s="251">
        <v>1400000</v>
      </c>
      <c r="E12" s="246">
        <v>0</v>
      </c>
    </row>
    <row r="13" spans="1:5">
      <c r="A13" s="245" t="s">
        <v>199</v>
      </c>
      <c r="B13" s="430" t="s">
        <v>227</v>
      </c>
      <c r="C13" s="245" t="s">
        <v>228</v>
      </c>
      <c r="D13" s="251">
        <v>0</v>
      </c>
      <c r="E13" s="246">
        <v>0</v>
      </c>
    </row>
    <row r="14" spans="1:5">
      <c r="A14" s="245" t="s">
        <v>200</v>
      </c>
      <c r="B14" s="430" t="s">
        <v>229</v>
      </c>
      <c r="C14" s="245" t="s">
        <v>230</v>
      </c>
      <c r="D14" s="251">
        <v>0</v>
      </c>
      <c r="E14" s="246">
        <v>0</v>
      </c>
    </row>
    <row r="15" spans="1:5">
      <c r="A15" s="245" t="s">
        <v>201</v>
      </c>
      <c r="B15" s="430" t="s">
        <v>231</v>
      </c>
      <c r="C15" s="245" t="s">
        <v>232</v>
      </c>
      <c r="D15" s="251">
        <v>0</v>
      </c>
      <c r="E15" s="246">
        <v>0</v>
      </c>
    </row>
    <row r="16" spans="1:5">
      <c r="A16" s="245" t="s">
        <v>202</v>
      </c>
      <c r="B16" s="430" t="s">
        <v>403</v>
      </c>
      <c r="C16" s="245" t="s">
        <v>402</v>
      </c>
      <c r="D16" s="251">
        <v>0</v>
      </c>
      <c r="E16" s="246">
        <v>0</v>
      </c>
    </row>
    <row r="17" spans="1:5">
      <c r="A17" s="245" t="s">
        <v>404</v>
      </c>
      <c r="B17" s="430" t="s">
        <v>405</v>
      </c>
      <c r="C17" s="245" t="s">
        <v>402</v>
      </c>
      <c r="D17" s="251">
        <v>1179211.73</v>
      </c>
      <c r="E17" s="246">
        <v>1179211.73</v>
      </c>
    </row>
    <row r="18" spans="1:5">
      <c r="A18" s="622" t="s">
        <v>233</v>
      </c>
      <c r="B18" s="622"/>
      <c r="C18" s="245"/>
      <c r="D18" s="433">
        <f>D19+D24+D22</f>
        <v>6520936.9800000004</v>
      </c>
      <c r="E18" s="433">
        <f>E19+E24+E22</f>
        <v>2082800</v>
      </c>
    </row>
    <row r="19" spans="1:5">
      <c r="A19" s="245" t="s">
        <v>181</v>
      </c>
      <c r="B19" s="430" t="s">
        <v>234</v>
      </c>
      <c r="C19" s="245" t="s">
        <v>235</v>
      </c>
      <c r="D19" s="251">
        <v>5120936.9800000004</v>
      </c>
      <c r="E19" s="246">
        <v>682800</v>
      </c>
    </row>
    <row r="20" spans="1:5">
      <c r="A20" s="245" t="s">
        <v>182</v>
      </c>
      <c r="B20" s="430" t="s">
        <v>236</v>
      </c>
      <c r="C20" s="245" t="s">
        <v>235</v>
      </c>
      <c r="D20" s="251">
        <v>0</v>
      </c>
      <c r="E20" s="246">
        <v>0</v>
      </c>
    </row>
    <row r="21" spans="1:5" ht="51">
      <c r="A21" s="245" t="s">
        <v>183</v>
      </c>
      <c r="B21" s="431" t="s">
        <v>237</v>
      </c>
      <c r="C21" s="245" t="s">
        <v>238</v>
      </c>
      <c r="D21" s="251">
        <v>0</v>
      </c>
      <c r="E21" s="246">
        <v>0</v>
      </c>
    </row>
    <row r="22" spans="1:5">
      <c r="A22" s="245" t="s">
        <v>198</v>
      </c>
      <c r="B22" s="430" t="s">
        <v>239</v>
      </c>
      <c r="C22" s="245" t="s">
        <v>240</v>
      </c>
      <c r="D22" s="251">
        <v>1400000</v>
      </c>
      <c r="E22" s="246">
        <v>1400000</v>
      </c>
    </row>
    <row r="23" spans="1:5">
      <c r="A23" s="245" t="s">
        <v>199</v>
      </c>
      <c r="B23" s="430" t="s">
        <v>241</v>
      </c>
      <c r="C23" s="245" t="s">
        <v>242</v>
      </c>
      <c r="D23" s="251">
        <v>0</v>
      </c>
      <c r="E23" s="246">
        <v>0</v>
      </c>
    </row>
    <row r="24" spans="1:5" ht="25.5">
      <c r="A24" s="245" t="s">
        <v>200</v>
      </c>
      <c r="B24" s="431" t="s">
        <v>243</v>
      </c>
      <c r="C24" s="245" t="s">
        <v>244</v>
      </c>
      <c r="D24" s="251">
        <v>0</v>
      </c>
      <c r="E24" s="246">
        <v>0</v>
      </c>
    </row>
    <row r="25" spans="1:5">
      <c r="A25" s="427" t="s">
        <v>201</v>
      </c>
      <c r="B25" s="426" t="s">
        <v>245</v>
      </c>
      <c r="C25" s="427" t="s">
        <v>246</v>
      </c>
      <c r="D25" s="428">
        <v>0</v>
      </c>
      <c r="E25" s="429">
        <v>0</v>
      </c>
    </row>
    <row r="26" spans="1:5">
      <c r="A26" s="247"/>
      <c r="B26" s="248"/>
      <c r="C26" s="248"/>
      <c r="D26" s="248"/>
      <c r="E26" s="248"/>
    </row>
    <row r="27" spans="1:5">
      <c r="A27" s="249"/>
      <c r="B27" s="250"/>
      <c r="C27" s="250"/>
      <c r="D27" s="250"/>
      <c r="E27" s="250"/>
    </row>
  </sheetData>
  <mergeCells count="5">
    <mergeCell ref="A2:E2"/>
    <mergeCell ref="A3:E3"/>
    <mergeCell ref="A4:E4"/>
    <mergeCell ref="A8:B8"/>
    <mergeCell ref="A18:B18"/>
  </mergeCells>
  <pageMargins left="0.7" right="0.7" top="0.75" bottom="0.75" header="0.3" footer="0.3"/>
  <pageSetup paperSize="9" orientation="portrait" r:id="rId1"/>
  <headerFooter>
    <oddFooter>&amp;CTabela Nr 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3:G20"/>
  <sheetViews>
    <sheetView workbookViewId="0">
      <selection activeCell="I11" sqref="I11"/>
    </sheetView>
  </sheetViews>
  <sheetFormatPr defaultRowHeight="12.75"/>
  <cols>
    <col min="1" max="1" width="3.5703125" customWidth="1"/>
    <col min="2" max="2" width="4.42578125" customWidth="1"/>
    <col min="3" max="3" width="6.5703125" customWidth="1"/>
    <col min="4" max="4" width="44.28515625" customWidth="1"/>
    <col min="5" max="5" width="14" customWidth="1"/>
    <col min="6" max="6" width="11.140625" customWidth="1"/>
    <col min="7" max="7" width="4.85546875" customWidth="1"/>
  </cols>
  <sheetData>
    <row r="3" spans="1:7">
      <c r="E3" s="460"/>
    </row>
    <row r="4" spans="1:7" ht="14.25">
      <c r="A4" s="623" t="s">
        <v>148</v>
      </c>
      <c r="B4" s="623"/>
      <c r="C4" s="623"/>
      <c r="D4" s="623"/>
      <c r="E4" s="623"/>
    </row>
    <row r="5" spans="1:7" ht="14.25">
      <c r="A5" s="623" t="s">
        <v>415</v>
      </c>
      <c r="B5" s="623"/>
      <c r="C5" s="623"/>
      <c r="D5" s="623"/>
      <c r="E5" s="623"/>
    </row>
    <row r="6" spans="1:7">
      <c r="E6" s="455"/>
    </row>
    <row r="7" spans="1:7" ht="33.75">
      <c r="A7" s="498" t="s">
        <v>173</v>
      </c>
      <c r="B7" s="498" t="s">
        <v>0</v>
      </c>
      <c r="C7" s="498" t="s">
        <v>8</v>
      </c>
      <c r="D7" s="499" t="s">
        <v>178</v>
      </c>
      <c r="E7" s="499" t="s">
        <v>135</v>
      </c>
      <c r="F7" s="500" t="s">
        <v>430</v>
      </c>
      <c r="G7" s="498" t="s">
        <v>136</v>
      </c>
    </row>
    <row r="8" spans="1:7">
      <c r="A8" s="141">
        <v>1</v>
      </c>
      <c r="B8" s="141">
        <v>2</v>
      </c>
      <c r="C8" s="141">
        <v>3</v>
      </c>
      <c r="D8" s="141">
        <v>4</v>
      </c>
      <c r="E8" s="141">
        <v>5</v>
      </c>
      <c r="F8" s="489">
        <v>6</v>
      </c>
      <c r="G8" s="490">
        <v>7</v>
      </c>
    </row>
    <row r="9" spans="1:7" ht="30" customHeight="1">
      <c r="A9" s="292">
        <v>1</v>
      </c>
      <c r="B9" s="292">
        <v>600</v>
      </c>
      <c r="C9" s="292">
        <v>60014</v>
      </c>
      <c r="D9" s="491" t="s">
        <v>416</v>
      </c>
      <c r="E9" s="492">
        <f>75000+62200+36029</f>
        <v>173229</v>
      </c>
      <c r="F9" s="493">
        <v>0</v>
      </c>
      <c r="G9" s="494">
        <f t="shared" ref="G9:G20" si="0">F9/E9*100</f>
        <v>0</v>
      </c>
    </row>
    <row r="10" spans="1:7" ht="30.75" customHeight="1">
      <c r="A10" s="292">
        <v>2</v>
      </c>
      <c r="B10" s="292">
        <v>750</v>
      </c>
      <c r="C10" s="292">
        <v>75020</v>
      </c>
      <c r="D10" s="491" t="s">
        <v>417</v>
      </c>
      <c r="E10" s="492">
        <f>800000-26605</f>
        <v>773395</v>
      </c>
      <c r="F10" s="493">
        <v>0</v>
      </c>
      <c r="G10" s="494">
        <f t="shared" si="0"/>
        <v>0</v>
      </c>
    </row>
    <row r="11" spans="1:7" ht="32.25" customHeight="1">
      <c r="A11" s="292">
        <v>3</v>
      </c>
      <c r="B11" s="292">
        <v>750</v>
      </c>
      <c r="C11" s="292">
        <v>75020</v>
      </c>
      <c r="D11" s="491" t="s">
        <v>418</v>
      </c>
      <c r="E11" s="492">
        <v>16605</v>
      </c>
      <c r="F11" s="493">
        <v>16605</v>
      </c>
      <c r="G11" s="494">
        <f t="shared" si="0"/>
        <v>100</v>
      </c>
    </row>
    <row r="12" spans="1:7" ht="31.5" customHeight="1">
      <c r="A12" s="292">
        <v>4</v>
      </c>
      <c r="B12" s="292">
        <v>754</v>
      </c>
      <c r="C12" s="292">
        <v>75411</v>
      </c>
      <c r="D12" s="491" t="s">
        <v>419</v>
      </c>
      <c r="E12" s="492">
        <v>10000</v>
      </c>
      <c r="F12" s="493">
        <v>0</v>
      </c>
      <c r="G12" s="494">
        <f t="shared" si="0"/>
        <v>0</v>
      </c>
    </row>
    <row r="13" spans="1:7" ht="31.5" customHeight="1">
      <c r="A13" s="292">
        <v>5</v>
      </c>
      <c r="B13" s="292">
        <v>801</v>
      </c>
      <c r="C13" s="292">
        <v>80120</v>
      </c>
      <c r="D13" s="491" t="s">
        <v>420</v>
      </c>
      <c r="E13" s="492">
        <f>242356+75000</f>
        <v>317356</v>
      </c>
      <c r="F13" s="493">
        <v>5535</v>
      </c>
      <c r="G13" s="494">
        <f t="shared" si="0"/>
        <v>1.744098110639156</v>
      </c>
    </row>
    <row r="14" spans="1:7" ht="39" customHeight="1">
      <c r="A14" s="292">
        <v>6</v>
      </c>
      <c r="B14" s="292">
        <v>851</v>
      </c>
      <c r="C14" s="292">
        <v>85111</v>
      </c>
      <c r="D14" s="495" t="s">
        <v>421</v>
      </c>
      <c r="E14" s="316">
        <f>1600000-75000</f>
        <v>1525000</v>
      </c>
      <c r="F14" s="493">
        <v>0</v>
      </c>
      <c r="G14" s="494">
        <f t="shared" si="0"/>
        <v>0</v>
      </c>
    </row>
    <row r="15" spans="1:7" ht="40.5" customHeight="1">
      <c r="A15" s="292">
        <v>7</v>
      </c>
      <c r="B15" s="292">
        <v>900</v>
      </c>
      <c r="C15" s="292">
        <v>90095</v>
      </c>
      <c r="D15" s="491" t="s">
        <v>422</v>
      </c>
      <c r="E15" s="492">
        <v>556385.41</v>
      </c>
      <c r="F15" s="493">
        <v>0</v>
      </c>
      <c r="G15" s="494">
        <f t="shared" si="0"/>
        <v>0</v>
      </c>
    </row>
    <row r="16" spans="1:7" ht="39.75" customHeight="1">
      <c r="A16" s="292">
        <v>8</v>
      </c>
      <c r="B16" s="292">
        <v>900</v>
      </c>
      <c r="C16" s="292">
        <v>90095</v>
      </c>
      <c r="D16" s="491" t="s">
        <v>423</v>
      </c>
      <c r="E16" s="492">
        <v>624807.4</v>
      </c>
      <c r="F16" s="493">
        <v>0</v>
      </c>
      <c r="G16" s="494">
        <f t="shared" si="0"/>
        <v>0</v>
      </c>
    </row>
    <row r="17" spans="1:7" ht="41.25" customHeight="1">
      <c r="A17" s="292">
        <v>9</v>
      </c>
      <c r="B17" s="292">
        <v>900</v>
      </c>
      <c r="C17" s="292">
        <v>90095</v>
      </c>
      <c r="D17" s="491" t="s">
        <v>424</v>
      </c>
      <c r="E17" s="492">
        <v>640318.51</v>
      </c>
      <c r="F17" s="493">
        <v>0</v>
      </c>
      <c r="G17" s="494">
        <f t="shared" si="0"/>
        <v>0</v>
      </c>
    </row>
    <row r="18" spans="1:7" ht="45" customHeight="1">
      <c r="A18" s="292">
        <v>10</v>
      </c>
      <c r="B18" s="292">
        <v>900</v>
      </c>
      <c r="C18" s="292">
        <v>90095</v>
      </c>
      <c r="D18" s="491" t="s">
        <v>425</v>
      </c>
      <c r="E18" s="492">
        <v>1078098.57</v>
      </c>
      <c r="F18" s="493">
        <v>0</v>
      </c>
      <c r="G18" s="494">
        <f t="shared" si="0"/>
        <v>0</v>
      </c>
    </row>
    <row r="19" spans="1:7" ht="28.5" customHeight="1">
      <c r="A19" s="292">
        <v>11</v>
      </c>
      <c r="B19" s="482">
        <v>926</v>
      </c>
      <c r="C19" s="482">
        <v>92601</v>
      </c>
      <c r="D19" s="496" t="s">
        <v>280</v>
      </c>
      <c r="E19" s="492">
        <v>1000000</v>
      </c>
      <c r="F19" s="493">
        <v>0</v>
      </c>
      <c r="G19" s="494">
        <f t="shared" si="0"/>
        <v>0</v>
      </c>
    </row>
    <row r="20" spans="1:7" ht="27" customHeight="1">
      <c r="A20" s="606" t="s">
        <v>26</v>
      </c>
      <c r="B20" s="607"/>
      <c r="C20" s="607"/>
      <c r="D20" s="624"/>
      <c r="E20" s="497">
        <f>SUM(E9:E19)</f>
        <v>6715194.8900000006</v>
      </c>
      <c r="F20" s="497">
        <f t="shared" ref="F20" si="1">SUM(F9:F19)</f>
        <v>22140</v>
      </c>
      <c r="G20" s="494">
        <f t="shared" si="0"/>
        <v>0.3297000364497239</v>
      </c>
    </row>
  </sheetData>
  <mergeCells count="3">
    <mergeCell ref="A4:E4"/>
    <mergeCell ref="A5:E5"/>
    <mergeCell ref="A20:D2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75"/>
  <sheetViews>
    <sheetView workbookViewId="0">
      <selection activeCell="C23" sqref="C23"/>
    </sheetView>
  </sheetViews>
  <sheetFormatPr defaultRowHeight="12.75"/>
  <cols>
    <col min="1" max="1" width="7.140625" customWidth="1"/>
    <col min="2" max="2" width="46.7109375" customWidth="1"/>
    <col min="3" max="3" width="14.5703125" customWidth="1"/>
    <col min="4" max="4" width="15.5703125" customWidth="1"/>
    <col min="5" max="5" width="7.5703125" customWidth="1"/>
    <col min="8" max="8" width="44.28515625" customWidth="1"/>
    <col min="9" max="9" width="13" hidden="1" customWidth="1"/>
    <col min="10" max="10" width="11.28515625" customWidth="1"/>
  </cols>
  <sheetData>
    <row r="1" spans="1:5">
      <c r="A1" s="82"/>
      <c r="B1" s="82"/>
      <c r="C1" s="82"/>
      <c r="D1" s="82"/>
    </row>
    <row r="2" spans="1:5">
      <c r="A2" s="45" t="s">
        <v>192</v>
      </c>
      <c r="B2" s="45" t="s">
        <v>172</v>
      </c>
      <c r="C2" s="45" t="s">
        <v>135</v>
      </c>
      <c r="D2" s="45" t="s">
        <v>127</v>
      </c>
      <c r="E2" s="139" t="s">
        <v>136</v>
      </c>
    </row>
    <row r="3" spans="1:5" s="112" customFormat="1" ht="10.5">
      <c r="A3" s="141">
        <v>1</v>
      </c>
      <c r="B3" s="141">
        <v>2</v>
      </c>
      <c r="C3" s="141">
        <v>3</v>
      </c>
      <c r="D3" s="141">
        <v>4</v>
      </c>
      <c r="E3" s="168">
        <v>5</v>
      </c>
    </row>
    <row r="4" spans="1:5">
      <c r="A4" s="157" t="s">
        <v>16</v>
      </c>
      <c r="B4" s="106" t="s">
        <v>15</v>
      </c>
      <c r="C4" s="204">
        <f>5177227</f>
        <v>5177227</v>
      </c>
      <c r="D4" s="211">
        <f>2189656</f>
        <v>2189656</v>
      </c>
      <c r="E4" s="167">
        <f>D4/C4*100</f>
        <v>42.29399251761609</v>
      </c>
    </row>
    <row r="5" spans="1:5">
      <c r="A5" s="157" t="s">
        <v>52</v>
      </c>
      <c r="B5" s="106" t="s">
        <v>53</v>
      </c>
      <c r="C5" s="202">
        <f>120000</f>
        <v>120000</v>
      </c>
      <c r="D5" s="209">
        <f>123546.97</f>
        <v>123546.97</v>
      </c>
      <c r="E5" s="167">
        <f t="shared" ref="E5:E25" si="0">D5/C5*100</f>
        <v>102.95580833333334</v>
      </c>
    </row>
    <row r="6" spans="1:5">
      <c r="A6" s="108" t="s">
        <v>18</v>
      </c>
      <c r="B6" s="161" t="s">
        <v>19</v>
      </c>
      <c r="C6" s="205">
        <f>725660</f>
        <v>725660</v>
      </c>
      <c r="D6" s="213">
        <f>373740.25</f>
        <v>373740.25</v>
      </c>
      <c r="E6" s="167">
        <f t="shared" si="0"/>
        <v>51.503493371551414</v>
      </c>
    </row>
    <row r="7" spans="1:5" ht="22.5">
      <c r="A7" s="157" t="s">
        <v>20</v>
      </c>
      <c r="B7" s="119" t="s">
        <v>23</v>
      </c>
      <c r="C7" s="202">
        <f>5000</f>
        <v>5000</v>
      </c>
      <c r="D7" s="209">
        <f>6751.41</f>
        <v>6751.41</v>
      </c>
      <c r="E7" s="167">
        <f t="shared" si="0"/>
        <v>135.0282</v>
      </c>
    </row>
    <row r="8" spans="1:5" ht="22.5">
      <c r="A8" s="108" t="s">
        <v>166</v>
      </c>
      <c r="B8" s="161" t="s">
        <v>167</v>
      </c>
      <c r="C8" s="205">
        <f>450000</f>
        <v>450000</v>
      </c>
      <c r="D8" s="213">
        <f>474615.04</f>
        <v>474615.03999999998</v>
      </c>
      <c r="E8" s="167">
        <f t="shared" si="0"/>
        <v>105.47000888888888</v>
      </c>
    </row>
    <row r="9" spans="1:5">
      <c r="A9" s="157" t="s">
        <v>129</v>
      </c>
      <c r="B9" s="119" t="s">
        <v>158</v>
      </c>
      <c r="C9" s="202"/>
      <c r="D9" s="209">
        <f>1709.7</f>
        <v>1709.7</v>
      </c>
      <c r="E9" s="167"/>
    </row>
    <row r="10" spans="1:5" ht="22.5">
      <c r="A10" s="157" t="s">
        <v>146</v>
      </c>
      <c r="B10" s="119" t="s">
        <v>155</v>
      </c>
      <c r="C10" s="202">
        <f>3000</f>
        <v>3000</v>
      </c>
      <c r="D10" s="209">
        <f>4119.98+256.54</f>
        <v>4376.5199999999995</v>
      </c>
      <c r="E10" s="167">
        <f t="shared" si="0"/>
        <v>145.88399999999999</v>
      </c>
    </row>
    <row r="11" spans="1:5">
      <c r="A11" s="157" t="s">
        <v>37</v>
      </c>
      <c r="B11" s="106" t="s">
        <v>38</v>
      </c>
      <c r="C11" s="310">
        <f>5000+599.69+1691.31+100000</f>
        <v>107291</v>
      </c>
      <c r="D11" s="310">
        <f>26.4+238.9+61.6+8011+298.25+2789.14+8.8+8.8+30988.98</f>
        <v>42431.869999999995</v>
      </c>
      <c r="E11" s="167">
        <f t="shared" si="0"/>
        <v>39.548396417220452</v>
      </c>
    </row>
    <row r="12" spans="1:5" ht="33.75">
      <c r="A12" s="157" t="s">
        <v>21</v>
      </c>
      <c r="B12" s="119" t="s">
        <v>163</v>
      </c>
      <c r="C12" s="310">
        <f>25000+2800+60629.92+50972.08+37064+22478+300+20600+10840+40000</f>
        <v>270684</v>
      </c>
      <c r="D12" s="310">
        <f>23501.64+17+4030+34810.39+24079.71+34916.73+16870+21709.76+11182.38+7202.04+30362.56</f>
        <v>208682.21000000002</v>
      </c>
      <c r="E12" s="167">
        <f t="shared" si="0"/>
        <v>77.094401590045976</v>
      </c>
    </row>
    <row r="13" spans="1:5" ht="22.5">
      <c r="A13" s="169" t="s">
        <v>22</v>
      </c>
      <c r="B13" s="170" t="s">
        <v>60</v>
      </c>
      <c r="C13" s="202">
        <f>1500000</f>
        <v>1500000</v>
      </c>
      <c r="D13" s="209">
        <f>62823</f>
        <v>62823</v>
      </c>
      <c r="E13" s="167">
        <f t="shared" si="0"/>
        <v>4.1882000000000001</v>
      </c>
    </row>
    <row r="14" spans="1:5">
      <c r="A14" s="169" t="s">
        <v>55</v>
      </c>
      <c r="B14" s="170" t="s">
        <v>57</v>
      </c>
      <c r="C14" s="311">
        <f>350000+620+10745+37506+6000+6722+30237+15000+125000</f>
        <v>581830</v>
      </c>
      <c r="D14" s="311">
        <f>773.34+165240.2+561.6+6772.42+22044.85+132.2+4263.43+3580+18987.5+14741.62+79302.4</f>
        <v>316399.56000000006</v>
      </c>
      <c r="E14" s="167">
        <f t="shared" si="0"/>
        <v>54.38006977983261</v>
      </c>
    </row>
    <row r="15" spans="1:5">
      <c r="A15" s="169" t="s">
        <v>185</v>
      </c>
      <c r="B15" s="170" t="s">
        <v>188</v>
      </c>
      <c r="C15" s="311"/>
      <c r="D15" s="311">
        <f>563+776+180</f>
        <v>1519</v>
      </c>
      <c r="E15" s="167"/>
    </row>
    <row r="16" spans="1:5">
      <c r="A16" s="157" t="s">
        <v>184</v>
      </c>
      <c r="B16" s="119" t="s">
        <v>187</v>
      </c>
      <c r="C16" s="205"/>
      <c r="D16" s="213">
        <f>71.23+198.95</f>
        <v>270.18</v>
      </c>
      <c r="E16" s="167"/>
    </row>
    <row r="17" spans="1:5">
      <c r="A17" s="157" t="s">
        <v>49</v>
      </c>
      <c r="B17" s="119" t="s">
        <v>59</v>
      </c>
      <c r="C17" s="310">
        <f>1500+4000+6000+70000+500+1014.4+2233.35+600+300+1000+900+200+500</f>
        <v>88747.75</v>
      </c>
      <c r="D17" s="310">
        <f>1203.14+6450.05+392.2+326.43+246.89+2852.13+63479.86+287.61+528.79+1603.12+575.65+850.36+233.25+20.49+935.73+634.56+847.66+143.45+114.5+260.81</f>
        <v>81986.679999999978</v>
      </c>
      <c r="E17" s="167">
        <f t="shared" si="0"/>
        <v>92.381699817741833</v>
      </c>
    </row>
    <row r="18" spans="1:5">
      <c r="A18" s="157" t="s">
        <v>100</v>
      </c>
      <c r="B18" s="119" t="s">
        <v>154</v>
      </c>
      <c r="C18" s="202"/>
      <c r="D18" s="209">
        <f>9.1</f>
        <v>9.1</v>
      </c>
      <c r="E18" s="167"/>
    </row>
    <row r="19" spans="1:5">
      <c r="A19" s="157" t="s">
        <v>56</v>
      </c>
      <c r="B19" s="119" t="s">
        <v>58</v>
      </c>
      <c r="C19" s="310">
        <f>15000+4000+30000+800+9000+5675+10223+1000+13000+120+13440</f>
        <v>102258</v>
      </c>
      <c r="D19" s="310">
        <f>3430.44+19418.03+14496.2+18060.3+2569.6+381+11091.16+7316.24+7098.02+7966.49+3510.32+618.12+4563.36+241.42+7132.71+548.94+9491.92</f>
        <v>117934.27000000002</v>
      </c>
      <c r="E19" s="167">
        <f t="shared" si="0"/>
        <v>115.33011598114575</v>
      </c>
    </row>
    <row r="20" spans="1:5" ht="24" customHeight="1">
      <c r="A20" s="156">
        <v>2360</v>
      </c>
      <c r="B20" s="119" t="s">
        <v>131</v>
      </c>
      <c r="C20" s="310">
        <f>96509.01</f>
        <v>96509.01</v>
      </c>
      <c r="D20" s="310">
        <f>111213.66+119.75+1.38+124.77</f>
        <v>111459.56000000001</v>
      </c>
      <c r="E20" s="167">
        <f t="shared" si="0"/>
        <v>115.49135153287762</v>
      </c>
    </row>
    <row r="21" spans="1:5" ht="24.75" customHeight="1">
      <c r="A21" s="156">
        <v>2460</v>
      </c>
      <c r="B21" s="119" t="s">
        <v>68</v>
      </c>
      <c r="C21" s="310">
        <f>270000</f>
        <v>270000</v>
      </c>
      <c r="D21" s="310">
        <v>129122.95</v>
      </c>
      <c r="E21" s="167">
        <f t="shared" si="0"/>
        <v>47.823314814814815</v>
      </c>
    </row>
    <row r="22" spans="1:5" ht="33.75">
      <c r="A22" s="288">
        <v>2690</v>
      </c>
      <c r="B22" s="148" t="s">
        <v>290</v>
      </c>
      <c r="C22" s="209">
        <f>388500</f>
        <v>388500</v>
      </c>
      <c r="D22" s="209">
        <f>192000</f>
        <v>192000</v>
      </c>
      <c r="E22" s="167">
        <f t="shared" si="0"/>
        <v>49.420849420849422</v>
      </c>
    </row>
    <row r="23" spans="1:5" ht="33.75">
      <c r="A23" s="157">
        <v>2900</v>
      </c>
      <c r="B23" s="444" t="s">
        <v>410</v>
      </c>
      <c r="C23" s="310"/>
      <c r="D23" s="310">
        <v>295.68</v>
      </c>
      <c r="E23" s="167"/>
    </row>
    <row r="24" spans="1:5">
      <c r="A24" s="442">
        <v>6180</v>
      </c>
      <c r="B24" s="106" t="s">
        <v>411</v>
      </c>
      <c r="C24" s="447">
        <v>62200</v>
      </c>
      <c r="D24" s="447">
        <v>62200</v>
      </c>
      <c r="E24" s="167">
        <f>D24/C24*100</f>
        <v>100</v>
      </c>
    </row>
    <row r="25" spans="1:5" ht="45">
      <c r="A25" s="144">
        <v>6287</v>
      </c>
      <c r="B25" s="148" t="s">
        <v>317</v>
      </c>
      <c r="C25" s="209">
        <v>189502.41</v>
      </c>
      <c r="D25" s="209"/>
      <c r="E25" s="167">
        <f t="shared" si="0"/>
        <v>0</v>
      </c>
    </row>
    <row r="26" spans="1:5">
      <c r="A26" s="626" t="s">
        <v>123</v>
      </c>
      <c r="B26" s="626"/>
      <c r="C26" s="365">
        <f>SUM(C4:C25)</f>
        <v>10138409.17</v>
      </c>
      <c r="D26" s="365">
        <f>SUM(D4:D25)</f>
        <v>4501529.9500000011</v>
      </c>
      <c r="E26" s="167">
        <f t="shared" ref="E26" si="1">D26/C26*100</f>
        <v>44.400752371685954</v>
      </c>
    </row>
    <row r="27" spans="1:5">
      <c r="A27" s="111"/>
      <c r="B27" s="162"/>
      <c r="C27" s="163"/>
      <c r="D27" s="164"/>
    </row>
    <row r="28" spans="1:5">
      <c r="A28" s="45" t="s">
        <v>192</v>
      </c>
      <c r="B28" s="45" t="s">
        <v>172</v>
      </c>
      <c r="C28" s="45" t="s">
        <v>135</v>
      </c>
      <c r="D28" s="45" t="s">
        <v>127</v>
      </c>
      <c r="E28" s="139" t="s">
        <v>136</v>
      </c>
    </row>
    <row r="29" spans="1:5" s="112" customFormat="1" ht="10.5">
      <c r="A29" s="141">
        <v>1</v>
      </c>
      <c r="B29" s="141">
        <v>2</v>
      </c>
      <c r="C29" s="141">
        <v>3</v>
      </c>
      <c r="D29" s="141">
        <v>4</v>
      </c>
      <c r="E29" s="168">
        <v>5</v>
      </c>
    </row>
    <row r="30" spans="1:5" ht="23.25" customHeight="1">
      <c r="A30" s="157">
        <v>2007</v>
      </c>
      <c r="B30" s="536" t="s">
        <v>204</v>
      </c>
      <c r="C30" s="309">
        <v>1270864.92</v>
      </c>
      <c r="D30" s="309">
        <f>944203.52</f>
        <v>944203.52</v>
      </c>
      <c r="E30" s="167">
        <f t="shared" ref="E30:E40" si="2">D30/C30*100</f>
        <v>74.296135265107495</v>
      </c>
    </row>
    <row r="31" spans="1:5" ht="24" customHeight="1">
      <c r="A31" s="157">
        <v>2009</v>
      </c>
      <c r="B31" s="537"/>
      <c r="C31" s="309">
        <v>69535.8</v>
      </c>
      <c r="D31" s="309">
        <f>50825.96</f>
        <v>50825.96</v>
      </c>
      <c r="E31" s="167">
        <f t="shared" si="2"/>
        <v>73.093226798282316</v>
      </c>
    </row>
    <row r="32" spans="1:5" ht="22.5">
      <c r="A32" s="156">
        <v>2110</v>
      </c>
      <c r="B32" s="119" t="s">
        <v>65</v>
      </c>
      <c r="C32" s="309">
        <f>21000+11000+99000+24000+289700+104800+20000+2176+2969200+2076000+449000+319500+78000</f>
        <v>6463376</v>
      </c>
      <c r="D32" s="309">
        <f>1599+5498+9225+152636+57279+17154.51+2176+1849009+1281245+240660+169500+39000</f>
        <v>3824981.51</v>
      </c>
      <c r="E32" s="167">
        <f t="shared" si="2"/>
        <v>59.179312947289461</v>
      </c>
    </row>
    <row r="33" spans="1:5" ht="33.75">
      <c r="A33" s="156">
        <v>2120</v>
      </c>
      <c r="B33" s="119" t="s">
        <v>24</v>
      </c>
      <c r="C33" s="309">
        <v>500</v>
      </c>
      <c r="D33" s="309">
        <v>0</v>
      </c>
      <c r="E33" s="167">
        <f t="shared" si="2"/>
        <v>0</v>
      </c>
    </row>
    <row r="34" spans="1:5" ht="22.5">
      <c r="A34" s="156">
        <v>2130</v>
      </c>
      <c r="B34" s="119" t="s">
        <v>153</v>
      </c>
      <c r="C34" s="309">
        <f>1618000</f>
        <v>1618000</v>
      </c>
      <c r="D34" s="309">
        <f>754870</f>
        <v>754870</v>
      </c>
      <c r="E34" s="167">
        <f t="shared" si="2"/>
        <v>46.65451174289246</v>
      </c>
    </row>
    <row r="35" spans="1:5" ht="24" customHeight="1">
      <c r="A35" s="156">
        <v>2310</v>
      </c>
      <c r="B35" s="107" t="s">
        <v>133</v>
      </c>
      <c r="C35" s="309">
        <f>6732.22</f>
        <v>6732.22</v>
      </c>
      <c r="D35" s="309">
        <f>6732.22</f>
        <v>6732.22</v>
      </c>
      <c r="E35" s="167">
        <f t="shared" si="2"/>
        <v>100</v>
      </c>
    </row>
    <row r="36" spans="1:5" ht="21.75" customHeight="1">
      <c r="A36" s="156">
        <v>2320</v>
      </c>
      <c r="B36" s="119" t="s">
        <v>134</v>
      </c>
      <c r="C36" s="309">
        <f>3429053.16+119800.2</f>
        <v>3548853.3600000003</v>
      </c>
      <c r="D36" s="309">
        <f>1709319.36+58028.37+1750</f>
        <v>1769097.7300000002</v>
      </c>
      <c r="E36" s="167">
        <f t="shared" si="2"/>
        <v>49.849840231212035</v>
      </c>
    </row>
    <row r="37" spans="1:5" ht="33.75">
      <c r="A37" s="180">
        <v>2710</v>
      </c>
      <c r="B37" s="115" t="s">
        <v>291</v>
      </c>
      <c r="C37" s="307">
        <f>1000</f>
        <v>1000</v>
      </c>
      <c r="D37" s="307">
        <f>1000</f>
        <v>1000</v>
      </c>
      <c r="E37" s="167">
        <f t="shared" si="2"/>
        <v>100</v>
      </c>
    </row>
    <row r="38" spans="1:5" ht="45">
      <c r="A38" s="144">
        <v>6207</v>
      </c>
      <c r="B38" s="115" t="s">
        <v>204</v>
      </c>
      <c r="C38" s="309">
        <f>162900.56</f>
        <v>162900.56</v>
      </c>
      <c r="D38" s="309"/>
      <c r="E38" s="167">
        <f t="shared" si="2"/>
        <v>0</v>
      </c>
    </row>
    <row r="39" spans="1:5" ht="33.75" customHeight="1">
      <c r="A39" s="449">
        <v>6620</v>
      </c>
      <c r="B39" s="148" t="s">
        <v>206</v>
      </c>
      <c r="C39" s="309">
        <f>560931.41+229380.92</f>
        <v>790312.33000000007</v>
      </c>
      <c r="D39" s="309">
        <f>560931.41+229380.92</f>
        <v>790312.33000000007</v>
      </c>
      <c r="E39" s="167">
        <f t="shared" si="2"/>
        <v>100</v>
      </c>
    </row>
    <row r="40" spans="1:5" ht="33.75">
      <c r="A40" s="290">
        <v>6627</v>
      </c>
      <c r="B40" s="148" t="s">
        <v>206</v>
      </c>
      <c r="C40" s="308">
        <v>254000</v>
      </c>
      <c r="D40" s="308">
        <f>18278.25</f>
        <v>18278.25</v>
      </c>
      <c r="E40" s="167">
        <f t="shared" si="2"/>
        <v>7.1961614173228341</v>
      </c>
    </row>
    <row r="41" spans="1:5">
      <c r="A41" s="625" t="s">
        <v>123</v>
      </c>
      <c r="B41" s="625"/>
      <c r="C41" s="364">
        <f>SUM(C30:C40)</f>
        <v>14186075.190000001</v>
      </c>
      <c r="D41" s="364">
        <f>SUM(D30:D40)</f>
        <v>8160301.5200000005</v>
      </c>
      <c r="E41" s="167">
        <f t="shared" ref="E41:E45" si="3">D41/C41*100</f>
        <v>57.523320655683065</v>
      </c>
    </row>
    <row r="42" spans="1:5">
      <c r="A42" s="82"/>
      <c r="B42" s="82"/>
      <c r="C42" s="82"/>
      <c r="D42" s="82"/>
      <c r="E42" s="171"/>
    </row>
    <row r="43" spans="1:5">
      <c r="A43" s="45" t="s">
        <v>192</v>
      </c>
      <c r="B43" s="45" t="s">
        <v>172</v>
      </c>
      <c r="C43" s="45" t="s">
        <v>135</v>
      </c>
      <c r="D43" s="45" t="s">
        <v>127</v>
      </c>
      <c r="E43" s="139" t="s">
        <v>136</v>
      </c>
    </row>
    <row r="44" spans="1:5" s="112" customFormat="1" ht="10.5">
      <c r="A44" s="141">
        <v>1</v>
      </c>
      <c r="B44" s="141">
        <v>2</v>
      </c>
      <c r="C44" s="141">
        <v>3</v>
      </c>
      <c r="D44" s="141">
        <v>4</v>
      </c>
      <c r="E44" s="168">
        <v>5</v>
      </c>
    </row>
    <row r="45" spans="1:5">
      <c r="A45" s="156">
        <v>2920</v>
      </c>
      <c r="B45" s="106" t="s">
        <v>17</v>
      </c>
      <c r="C45" s="448">
        <f>18379352+6267594+2599286</f>
        <v>27246232</v>
      </c>
      <c r="D45" s="448">
        <f>11310368+3133800+1299642</f>
        <v>15743810</v>
      </c>
      <c r="E45" s="167">
        <f t="shared" si="3"/>
        <v>57.783439559642588</v>
      </c>
    </row>
    <row r="46" spans="1:5">
      <c r="A46" s="445"/>
      <c r="B46" s="445" t="s">
        <v>26</v>
      </c>
      <c r="C46" s="364">
        <f>C45</f>
        <v>27246232</v>
      </c>
      <c r="D46" s="364">
        <f>D45</f>
        <v>15743810</v>
      </c>
      <c r="E46" s="446"/>
    </row>
    <row r="47" spans="1:5">
      <c r="A47" s="82"/>
      <c r="B47" s="82"/>
      <c r="C47" s="82"/>
      <c r="D47" s="82"/>
      <c r="E47" s="171"/>
    </row>
    <row r="48" spans="1:5">
      <c r="A48" s="82"/>
      <c r="B48" s="82"/>
      <c r="C48" s="165"/>
      <c r="D48" s="165"/>
      <c r="E48" s="171"/>
    </row>
    <row r="49" spans="3:12" ht="45" hidden="1">
      <c r="C49" s="29"/>
      <c r="D49" s="160"/>
      <c r="G49" s="144">
        <v>2007</v>
      </c>
      <c r="H49" s="173" t="s">
        <v>204</v>
      </c>
      <c r="I49" s="202">
        <v>1274373.75</v>
      </c>
      <c r="J49" s="209">
        <v>937779.13</v>
      </c>
      <c r="K49" s="306">
        <v>0</v>
      </c>
      <c r="L49" s="296">
        <f>(J49+K49)/I49*100</f>
        <v>73.587448737075761</v>
      </c>
    </row>
    <row r="50" spans="3:12" hidden="1">
      <c r="G50" s="144">
        <v>2009</v>
      </c>
      <c r="H50" s="173"/>
      <c r="I50" s="202">
        <v>69819.75</v>
      </c>
      <c r="J50" s="209">
        <v>52834.31</v>
      </c>
      <c r="K50" s="306">
        <v>0</v>
      </c>
      <c r="L50" s="296">
        <f>(J50+K50)/I50*100</f>
        <v>75.672442253087411</v>
      </c>
    </row>
    <row r="51" spans="3:12" ht="33.75" hidden="1">
      <c r="G51" s="288">
        <v>2110</v>
      </c>
      <c r="H51" s="115" t="s">
        <v>65</v>
      </c>
      <c r="I51" s="202">
        <v>50000</v>
      </c>
      <c r="J51" s="209">
        <v>24996</v>
      </c>
      <c r="K51" s="215">
        <v>0</v>
      </c>
      <c r="L51" s="296">
        <f t="shared" ref="L51" si="4">(J51+K51)/I51*100</f>
        <v>49.991999999999997</v>
      </c>
    </row>
    <row r="52" spans="3:12" ht="33.75" hidden="1">
      <c r="G52" s="288">
        <v>2110</v>
      </c>
      <c r="H52" s="115" t="s">
        <v>65</v>
      </c>
      <c r="I52" s="202">
        <v>10000</v>
      </c>
      <c r="J52" s="209">
        <v>6110</v>
      </c>
      <c r="K52" s="306">
        <v>0</v>
      </c>
      <c r="L52" s="296">
        <f t="shared" ref="L52:L68" si="5">(J52+K52)/I52*100</f>
        <v>61.1</v>
      </c>
    </row>
    <row r="53" spans="3:12" ht="33.75" hidden="1">
      <c r="G53" s="288">
        <v>2110</v>
      </c>
      <c r="H53" s="115" t="s">
        <v>65</v>
      </c>
      <c r="I53" s="202">
        <v>85000</v>
      </c>
      <c r="J53" s="209">
        <v>42498</v>
      </c>
      <c r="K53" s="306">
        <v>0</v>
      </c>
      <c r="L53" s="296">
        <f t="shared" si="5"/>
        <v>49.997647058823532</v>
      </c>
    </row>
    <row r="54" spans="3:12" ht="33.75" hidden="1">
      <c r="G54" s="288">
        <v>2110</v>
      </c>
      <c r="H54" s="115" t="s">
        <v>65</v>
      </c>
      <c r="I54" s="202">
        <v>22000</v>
      </c>
      <c r="J54" s="209">
        <v>10998</v>
      </c>
      <c r="K54" s="306">
        <v>0</v>
      </c>
      <c r="L54" s="296">
        <f t="shared" si="5"/>
        <v>49.990909090909092</v>
      </c>
    </row>
    <row r="55" spans="3:12" ht="33.75" hidden="1">
      <c r="G55" s="144">
        <v>2110</v>
      </c>
      <c r="H55" s="115" t="s">
        <v>65</v>
      </c>
      <c r="I55" s="202">
        <v>273000</v>
      </c>
      <c r="J55" s="209">
        <v>143618</v>
      </c>
      <c r="K55" s="306">
        <v>0</v>
      </c>
      <c r="L55" s="296">
        <f t="shared" si="5"/>
        <v>52.607326007326009</v>
      </c>
    </row>
    <row r="56" spans="3:12" ht="33.75" hidden="1">
      <c r="G56" s="288">
        <v>2110</v>
      </c>
      <c r="H56" s="115" t="s">
        <v>65</v>
      </c>
      <c r="I56" s="202">
        <v>105200</v>
      </c>
      <c r="J56" s="209">
        <v>57377</v>
      </c>
      <c r="K56" s="306">
        <v>0</v>
      </c>
      <c r="L56" s="296">
        <f t="shared" si="5"/>
        <v>54.54087452471483</v>
      </c>
    </row>
    <row r="57" spans="3:12" ht="33.75" hidden="1">
      <c r="G57" s="288">
        <v>2110</v>
      </c>
      <c r="H57" s="115" t="s">
        <v>65</v>
      </c>
      <c r="I57" s="202">
        <v>20000</v>
      </c>
      <c r="J57" s="209">
        <v>18805.66</v>
      </c>
      <c r="K57" s="209">
        <v>0</v>
      </c>
      <c r="L57" s="296">
        <f t="shared" si="5"/>
        <v>94.028300000000002</v>
      </c>
    </row>
    <row r="58" spans="3:12" ht="33.75" hidden="1">
      <c r="G58" s="288">
        <v>2110</v>
      </c>
      <c r="H58" s="115" t="s">
        <v>65</v>
      </c>
      <c r="I58" s="202">
        <v>3076500</v>
      </c>
      <c r="J58" s="209">
        <v>1915498</v>
      </c>
      <c r="K58" s="209">
        <v>0</v>
      </c>
      <c r="L58" s="296">
        <f t="shared" si="5"/>
        <v>62.262246058833092</v>
      </c>
    </row>
    <row r="59" spans="3:12" ht="33.75" hidden="1">
      <c r="G59" s="288">
        <v>2110</v>
      </c>
      <c r="H59" s="115" t="s">
        <v>65</v>
      </c>
      <c r="I59" s="202">
        <v>1926000</v>
      </c>
      <c r="J59" s="209">
        <v>1263498</v>
      </c>
      <c r="K59" s="209">
        <v>0</v>
      </c>
      <c r="L59" s="296">
        <f t="shared" si="5"/>
        <v>65.602180685358263</v>
      </c>
    </row>
    <row r="60" spans="3:12" ht="33.75" hidden="1">
      <c r="G60" s="288">
        <v>2110</v>
      </c>
      <c r="H60" s="115" t="s">
        <v>65</v>
      </c>
      <c r="I60" s="202">
        <v>432000</v>
      </c>
      <c r="J60" s="209">
        <v>235938</v>
      </c>
      <c r="K60" s="306">
        <v>0</v>
      </c>
      <c r="L60" s="296">
        <f t="shared" si="5"/>
        <v>54.615277777777784</v>
      </c>
    </row>
    <row r="61" spans="3:12" ht="33.75" hidden="1">
      <c r="G61" s="144">
        <v>2110</v>
      </c>
      <c r="H61" s="115" t="s">
        <v>65</v>
      </c>
      <c r="I61" s="202">
        <v>319500</v>
      </c>
      <c r="J61" s="209">
        <v>169500</v>
      </c>
      <c r="K61" s="209">
        <v>0</v>
      </c>
      <c r="L61" s="296">
        <f t="shared" si="5"/>
        <v>53.051643192488264</v>
      </c>
    </row>
    <row r="62" spans="3:12" ht="33.75" hidden="1">
      <c r="G62" s="288">
        <v>2110</v>
      </c>
      <c r="H62" s="115" t="s">
        <v>65</v>
      </c>
      <c r="I62" s="202">
        <v>83000</v>
      </c>
      <c r="J62" s="209">
        <v>44000</v>
      </c>
      <c r="K62" s="209">
        <v>0</v>
      </c>
      <c r="L62" s="296">
        <f t="shared" si="5"/>
        <v>53.01204819277109</v>
      </c>
    </row>
    <row r="63" spans="3:12" ht="33.75" hidden="1">
      <c r="G63" s="288">
        <v>2120</v>
      </c>
      <c r="H63" s="115" t="s">
        <v>24</v>
      </c>
      <c r="I63" s="202">
        <v>500</v>
      </c>
      <c r="J63" s="209">
        <v>0</v>
      </c>
      <c r="K63" s="209">
        <v>0</v>
      </c>
      <c r="L63" s="296">
        <f t="shared" si="5"/>
        <v>0</v>
      </c>
    </row>
    <row r="64" spans="3:12" ht="22.5" hidden="1">
      <c r="G64" s="288">
        <v>2130</v>
      </c>
      <c r="H64" s="115" t="s">
        <v>25</v>
      </c>
      <c r="I64" s="202">
        <v>1747000</v>
      </c>
      <c r="J64" s="209">
        <v>826271</v>
      </c>
      <c r="K64" s="209">
        <v>0</v>
      </c>
      <c r="L64" s="296">
        <f t="shared" si="5"/>
        <v>47.296565540927304</v>
      </c>
    </row>
    <row r="65" spans="7:12" ht="33.75" hidden="1">
      <c r="G65" s="144">
        <v>2310</v>
      </c>
      <c r="H65" s="115" t="s">
        <v>296</v>
      </c>
      <c r="I65" s="202">
        <v>22968.32</v>
      </c>
      <c r="J65" s="209">
        <v>0</v>
      </c>
      <c r="K65" s="293">
        <v>0</v>
      </c>
      <c r="L65" s="296">
        <f t="shared" si="5"/>
        <v>0</v>
      </c>
    </row>
    <row r="66" spans="7:12" ht="33.75" hidden="1">
      <c r="G66" s="288">
        <v>2310</v>
      </c>
      <c r="H66" s="173" t="s">
        <v>133</v>
      </c>
      <c r="I66" s="202">
        <v>6395.7</v>
      </c>
      <c r="J66" s="209">
        <v>6395.7</v>
      </c>
      <c r="K66" s="209">
        <v>0</v>
      </c>
      <c r="L66" s="296">
        <f t="shared" si="5"/>
        <v>100</v>
      </c>
    </row>
    <row r="67" spans="7:12" ht="33.75" hidden="1">
      <c r="G67" s="288">
        <v>2320</v>
      </c>
      <c r="H67" s="115" t="s">
        <v>134</v>
      </c>
      <c r="I67" s="202">
        <v>2218481.4</v>
      </c>
      <c r="J67" s="209">
        <v>1121601.27</v>
      </c>
      <c r="K67" s="209">
        <v>0</v>
      </c>
      <c r="L67" s="296">
        <f t="shared" si="5"/>
        <v>50.557163562426091</v>
      </c>
    </row>
    <row r="68" spans="7:12" ht="33.75" hidden="1">
      <c r="G68" s="144">
        <v>2320</v>
      </c>
      <c r="H68" s="115" t="s">
        <v>134</v>
      </c>
      <c r="I68" s="202">
        <v>70595.88</v>
      </c>
      <c r="J68" s="209">
        <v>68391.22</v>
      </c>
      <c r="K68" s="209">
        <v>0</v>
      </c>
      <c r="L68" s="296">
        <f t="shared" si="5"/>
        <v>96.877069879998658</v>
      </c>
    </row>
    <row r="69" spans="7:12" ht="33.75" hidden="1">
      <c r="G69" s="144">
        <v>2320</v>
      </c>
      <c r="H69" s="115" t="s">
        <v>134</v>
      </c>
      <c r="I69" s="202">
        <v>0</v>
      </c>
      <c r="J69" s="209">
        <v>3788.87</v>
      </c>
      <c r="K69" s="209">
        <v>0</v>
      </c>
      <c r="L69" s="296"/>
    </row>
    <row r="70" spans="7:12" ht="33.75" hidden="1">
      <c r="G70" s="288">
        <v>2360</v>
      </c>
      <c r="H70" s="115" t="s">
        <v>131</v>
      </c>
      <c r="I70" s="202">
        <v>80000</v>
      </c>
      <c r="J70" s="209">
        <v>72844.52</v>
      </c>
      <c r="K70" s="209">
        <v>0</v>
      </c>
      <c r="L70" s="296">
        <f>(J70+K70)/I70*100</f>
        <v>91.055650000000014</v>
      </c>
    </row>
    <row r="71" spans="7:12" ht="33.75" hidden="1">
      <c r="G71" s="144">
        <v>2360</v>
      </c>
      <c r="H71" s="115" t="s">
        <v>131</v>
      </c>
      <c r="I71" s="202">
        <v>0</v>
      </c>
      <c r="J71" s="209">
        <v>5</v>
      </c>
      <c r="K71" s="209">
        <v>0</v>
      </c>
      <c r="L71" s="296"/>
    </row>
    <row r="72" spans="7:12" ht="33.75" hidden="1">
      <c r="G72" s="288">
        <v>2360</v>
      </c>
      <c r="H72" s="115" t="s">
        <v>131</v>
      </c>
      <c r="I72" s="202">
        <v>0</v>
      </c>
      <c r="J72" s="209">
        <v>119.12</v>
      </c>
      <c r="K72" s="209">
        <v>0</v>
      </c>
      <c r="L72" s="296"/>
    </row>
    <row r="73" spans="7:12" ht="33.75" hidden="1">
      <c r="G73" s="220">
        <v>2360</v>
      </c>
      <c r="H73" s="117" t="s">
        <v>131</v>
      </c>
      <c r="I73" s="205">
        <v>0</v>
      </c>
      <c r="J73" s="213">
        <v>108.5</v>
      </c>
      <c r="K73" s="213">
        <v>0</v>
      </c>
      <c r="L73" s="298"/>
    </row>
    <row r="74" spans="7:12" ht="33.75" hidden="1">
      <c r="G74" s="288">
        <v>2460</v>
      </c>
      <c r="H74" s="115" t="s">
        <v>68</v>
      </c>
      <c r="I74" s="202">
        <v>270000</v>
      </c>
      <c r="J74" s="209">
        <v>126874.15</v>
      </c>
      <c r="K74" s="293">
        <v>0</v>
      </c>
      <c r="L74" s="296">
        <f>(J74+K74)/I74*100</f>
        <v>46.990425925925919</v>
      </c>
    </row>
    <row r="75" spans="7:12" ht="45" hidden="1">
      <c r="G75" s="288">
        <v>2690</v>
      </c>
      <c r="H75" s="148" t="s">
        <v>290</v>
      </c>
      <c r="I75" s="202">
        <v>1172800</v>
      </c>
      <c r="J75" s="209">
        <v>587000</v>
      </c>
      <c r="K75" s="209">
        <v>0</v>
      </c>
      <c r="L75" s="296">
        <f>(J75+K75)/I75*100</f>
        <v>50.051159618008192</v>
      </c>
    </row>
    <row r="76" spans="7:12" ht="33.75" hidden="1">
      <c r="G76" s="180">
        <v>2710</v>
      </c>
      <c r="H76" s="115" t="s">
        <v>291</v>
      </c>
      <c r="I76" s="205">
        <v>500</v>
      </c>
      <c r="J76" s="213">
        <v>500</v>
      </c>
      <c r="K76" s="213"/>
      <c r="L76" s="296"/>
    </row>
    <row r="77" spans="7:12" ht="56.25" hidden="1">
      <c r="G77" s="144">
        <v>2910</v>
      </c>
      <c r="H77" s="115" t="s">
        <v>205</v>
      </c>
      <c r="I77" s="202">
        <v>0</v>
      </c>
      <c r="J77" s="209">
        <v>104758.94</v>
      </c>
      <c r="K77" s="209">
        <v>0</v>
      </c>
      <c r="L77" s="296"/>
    </row>
    <row r="78" spans="7:12" ht="56.25" hidden="1">
      <c r="G78" s="144">
        <v>2910</v>
      </c>
      <c r="H78" s="115" t="s">
        <v>205</v>
      </c>
      <c r="I78" s="202">
        <v>0</v>
      </c>
      <c r="J78" s="209">
        <v>276.27</v>
      </c>
      <c r="K78" s="209">
        <v>0</v>
      </c>
      <c r="L78" s="296"/>
    </row>
    <row r="79" spans="7:12" ht="56.25" hidden="1">
      <c r="G79" s="144">
        <v>2910</v>
      </c>
      <c r="H79" s="115" t="s">
        <v>205</v>
      </c>
      <c r="I79" s="202">
        <v>0</v>
      </c>
      <c r="J79" s="209">
        <v>4820</v>
      </c>
      <c r="K79" s="209">
        <v>0</v>
      </c>
      <c r="L79" s="296"/>
    </row>
    <row r="80" spans="7:12" hidden="1">
      <c r="G80" s="288">
        <v>2920</v>
      </c>
      <c r="H80" s="118" t="s">
        <v>17</v>
      </c>
      <c r="I80" s="202">
        <v>18292142</v>
      </c>
      <c r="J80" s="209">
        <v>11256704</v>
      </c>
      <c r="K80" s="209">
        <v>0</v>
      </c>
      <c r="L80" s="296">
        <f t="shared" ref="L80:L89" si="6">(J80+K80)/I80*100</f>
        <v>61.538468266865628</v>
      </c>
    </row>
    <row r="81" spans="7:12" hidden="1">
      <c r="G81" s="288">
        <v>2920</v>
      </c>
      <c r="H81" s="118" t="s">
        <v>17</v>
      </c>
      <c r="I81" s="202">
        <v>6370975</v>
      </c>
      <c r="J81" s="209">
        <v>3185490</v>
      </c>
      <c r="K81" s="209">
        <v>0</v>
      </c>
      <c r="L81" s="296">
        <f t="shared" si="6"/>
        <v>50.000039240461625</v>
      </c>
    </row>
    <row r="82" spans="7:12" hidden="1">
      <c r="G82" s="288">
        <v>2920</v>
      </c>
      <c r="H82" s="118" t="s">
        <v>17</v>
      </c>
      <c r="I82" s="202">
        <v>2944204</v>
      </c>
      <c r="J82" s="209">
        <v>1472100</v>
      </c>
      <c r="K82" s="209">
        <v>0</v>
      </c>
      <c r="L82" s="296">
        <f t="shared" si="6"/>
        <v>49.999932069924505</v>
      </c>
    </row>
    <row r="83" spans="7:12" ht="45" hidden="1">
      <c r="G83" s="144">
        <v>6207</v>
      </c>
      <c r="H83" s="115" t="s">
        <v>204</v>
      </c>
      <c r="I83" s="202">
        <v>1331719.5</v>
      </c>
      <c r="J83" s="209">
        <v>0</v>
      </c>
      <c r="K83" s="293">
        <v>926468.82</v>
      </c>
      <c r="L83" s="296">
        <f t="shared" si="6"/>
        <v>69.56936652200406</v>
      </c>
    </row>
    <row r="84" spans="7:12" ht="45" hidden="1">
      <c r="G84" s="144">
        <v>6207</v>
      </c>
      <c r="H84" s="115" t="s">
        <v>204</v>
      </c>
      <c r="I84" s="202">
        <v>179258.65</v>
      </c>
      <c r="J84" s="209">
        <v>0</v>
      </c>
      <c r="K84" s="293">
        <v>37328.92</v>
      </c>
      <c r="L84" s="296">
        <f t="shared" si="6"/>
        <v>20.824055073492968</v>
      </c>
    </row>
    <row r="85" spans="7:12" ht="45" hidden="1">
      <c r="G85" s="144">
        <v>6207</v>
      </c>
      <c r="H85" s="115" t="s">
        <v>294</v>
      </c>
      <c r="I85" s="202">
        <v>446889.27</v>
      </c>
      <c r="J85" s="209">
        <v>0</v>
      </c>
      <c r="K85" s="209">
        <v>0</v>
      </c>
      <c r="L85" s="296">
        <f t="shared" si="6"/>
        <v>0</v>
      </c>
    </row>
    <row r="86" spans="7:12" ht="45" hidden="1">
      <c r="G86" s="180">
        <v>6260</v>
      </c>
      <c r="H86" s="115" t="s">
        <v>207</v>
      </c>
      <c r="I86" s="205">
        <v>610820</v>
      </c>
      <c r="J86" s="213">
        <v>0</v>
      </c>
      <c r="K86" s="213">
        <v>0</v>
      </c>
      <c r="L86" s="296">
        <f t="shared" si="6"/>
        <v>0</v>
      </c>
    </row>
    <row r="87" spans="7:12" ht="45" hidden="1">
      <c r="G87" s="144">
        <v>6260</v>
      </c>
      <c r="H87" s="115" t="s">
        <v>207</v>
      </c>
      <c r="I87" s="202">
        <v>532240</v>
      </c>
      <c r="J87" s="209">
        <v>0</v>
      </c>
      <c r="K87" s="209">
        <v>0</v>
      </c>
      <c r="L87" s="296">
        <f t="shared" si="6"/>
        <v>0</v>
      </c>
    </row>
    <row r="88" spans="7:12" ht="22.5" hidden="1">
      <c r="G88" s="144">
        <v>6290</v>
      </c>
      <c r="H88" s="115" t="s">
        <v>295</v>
      </c>
      <c r="I88" s="202">
        <v>23000</v>
      </c>
      <c r="J88" s="209">
        <v>0</v>
      </c>
      <c r="K88" s="293">
        <v>12000</v>
      </c>
      <c r="L88" s="296">
        <f t="shared" si="6"/>
        <v>52.173913043478258</v>
      </c>
    </row>
    <row r="89" spans="7:12" ht="45" hidden="1">
      <c r="G89" s="106">
        <v>6300</v>
      </c>
      <c r="H89" s="115" t="s">
        <v>292</v>
      </c>
      <c r="I89" s="294">
        <v>100000</v>
      </c>
      <c r="J89" s="294">
        <v>0</v>
      </c>
      <c r="K89" s="294">
        <v>0</v>
      </c>
      <c r="L89" s="296">
        <f t="shared" si="6"/>
        <v>0</v>
      </c>
    </row>
    <row r="90" spans="7:12" ht="45" hidden="1">
      <c r="G90" s="304">
        <v>6300</v>
      </c>
      <c r="H90" s="287" t="s">
        <v>292</v>
      </c>
      <c r="I90" s="203">
        <v>20000</v>
      </c>
      <c r="J90" s="210"/>
      <c r="K90" s="213">
        <v>20000</v>
      </c>
      <c r="L90" s="296"/>
    </row>
    <row r="91" spans="7:12" ht="22.5" hidden="1">
      <c r="G91" s="303">
        <v>6430</v>
      </c>
      <c r="H91" s="287" t="s">
        <v>208</v>
      </c>
      <c r="I91" s="305">
        <v>1226005</v>
      </c>
      <c r="J91" s="305">
        <v>0</v>
      </c>
      <c r="K91" s="294">
        <v>0</v>
      </c>
      <c r="L91" s="296">
        <f t="shared" ref="L91:L100" si="7">(J91+K91)/I91*100</f>
        <v>0</v>
      </c>
    </row>
    <row r="92" spans="7:12" ht="22.5" hidden="1">
      <c r="G92" s="153">
        <v>6430</v>
      </c>
      <c r="H92" s="115" t="s">
        <v>208</v>
      </c>
      <c r="I92" s="204">
        <v>63850</v>
      </c>
      <c r="J92" s="211">
        <v>0</v>
      </c>
      <c r="K92" s="209">
        <v>0</v>
      </c>
      <c r="L92" s="296">
        <f t="shared" si="7"/>
        <v>0</v>
      </c>
    </row>
    <row r="93" spans="7:12" ht="33.75" hidden="1">
      <c r="G93" s="290">
        <v>6627</v>
      </c>
      <c r="H93" s="148" t="s">
        <v>206</v>
      </c>
      <c r="I93" s="202">
        <v>254000</v>
      </c>
      <c r="J93" s="209">
        <v>0</v>
      </c>
      <c r="K93" s="209">
        <v>0</v>
      </c>
      <c r="L93" s="296">
        <f t="shared" si="7"/>
        <v>0</v>
      </c>
    </row>
    <row r="94" spans="7:12" hidden="1">
      <c r="G94" s="153" t="s">
        <v>16</v>
      </c>
      <c r="H94" s="118" t="s">
        <v>15</v>
      </c>
      <c r="I94" s="204">
        <v>4813489</v>
      </c>
      <c r="J94" s="211">
        <v>2062135</v>
      </c>
      <c r="K94" s="209">
        <v>0</v>
      </c>
      <c r="L94" s="296">
        <f t="shared" si="7"/>
        <v>42.840754388344919</v>
      </c>
    </row>
    <row r="95" spans="7:12" hidden="1">
      <c r="G95" s="144" t="s">
        <v>52</v>
      </c>
      <c r="H95" s="118" t="s">
        <v>53</v>
      </c>
      <c r="I95" s="202">
        <v>100000</v>
      </c>
      <c r="J95" s="209">
        <v>76263.48</v>
      </c>
      <c r="K95" s="209">
        <v>0</v>
      </c>
      <c r="L95" s="296">
        <f t="shared" si="7"/>
        <v>76.263480000000001</v>
      </c>
    </row>
    <row r="96" spans="7:12" hidden="1">
      <c r="G96" s="158" t="s">
        <v>18</v>
      </c>
      <c r="H96" s="159" t="s">
        <v>19</v>
      </c>
      <c r="I96" s="205">
        <v>795820</v>
      </c>
      <c r="J96" s="213">
        <v>373795</v>
      </c>
      <c r="K96" s="209">
        <v>0</v>
      </c>
      <c r="L96" s="296">
        <f t="shared" si="7"/>
        <v>46.969792164057203</v>
      </c>
    </row>
    <row r="97" spans="7:12" ht="22.5" hidden="1">
      <c r="G97" s="144" t="s">
        <v>20</v>
      </c>
      <c r="H97" s="115" t="s">
        <v>23</v>
      </c>
      <c r="I97" s="202">
        <v>7000</v>
      </c>
      <c r="J97" s="209">
        <v>5922.97</v>
      </c>
      <c r="K97" s="209">
        <v>0</v>
      </c>
      <c r="L97" s="296">
        <f t="shared" si="7"/>
        <v>84.613857142857157</v>
      </c>
    </row>
    <row r="98" spans="7:12" ht="22.5" hidden="1">
      <c r="G98" s="158" t="s">
        <v>166</v>
      </c>
      <c r="H98" s="159" t="s">
        <v>203</v>
      </c>
      <c r="I98" s="205">
        <v>630000</v>
      </c>
      <c r="J98" s="213">
        <v>608680.62</v>
      </c>
      <c r="K98" s="209">
        <v>0</v>
      </c>
      <c r="L98" s="296">
        <f t="shared" si="7"/>
        <v>96.615971428571427</v>
      </c>
    </row>
    <row r="99" spans="7:12" hidden="1">
      <c r="G99" s="144" t="s">
        <v>129</v>
      </c>
      <c r="H99" s="119" t="s">
        <v>158</v>
      </c>
      <c r="I99" s="202">
        <v>1000</v>
      </c>
      <c r="J99" s="209">
        <v>1000</v>
      </c>
      <c r="K99" s="209">
        <v>0</v>
      </c>
      <c r="L99" s="296">
        <f t="shared" si="7"/>
        <v>100</v>
      </c>
    </row>
    <row r="100" spans="7:12" ht="22.5" hidden="1">
      <c r="G100" s="144" t="s">
        <v>146</v>
      </c>
      <c r="H100" s="115" t="s">
        <v>155</v>
      </c>
      <c r="I100" s="202">
        <v>3000</v>
      </c>
      <c r="J100" s="209">
        <v>5126.3</v>
      </c>
      <c r="K100" s="209">
        <v>0</v>
      </c>
      <c r="L100" s="296">
        <f t="shared" si="7"/>
        <v>170.87666666666667</v>
      </c>
    </row>
    <row r="101" spans="7:12" hidden="1">
      <c r="G101" s="144" t="s">
        <v>37</v>
      </c>
      <c r="H101" s="118" t="s">
        <v>38</v>
      </c>
      <c r="I101" s="202">
        <v>0</v>
      </c>
      <c r="J101" s="209">
        <v>0</v>
      </c>
      <c r="K101" s="209">
        <v>0</v>
      </c>
      <c r="L101" s="296"/>
    </row>
    <row r="102" spans="7:12" hidden="1">
      <c r="G102" s="144" t="s">
        <v>37</v>
      </c>
      <c r="H102" s="118" t="s">
        <v>38</v>
      </c>
      <c r="I102" s="202">
        <v>0</v>
      </c>
      <c r="J102" s="209">
        <v>26.4</v>
      </c>
      <c r="K102" s="209">
        <v>0</v>
      </c>
      <c r="L102" s="296"/>
    </row>
    <row r="103" spans="7:12" hidden="1">
      <c r="G103" s="144" t="s">
        <v>37</v>
      </c>
      <c r="H103" s="118" t="s">
        <v>38</v>
      </c>
      <c r="I103" s="202">
        <v>0</v>
      </c>
      <c r="J103" s="209">
        <v>832.97</v>
      </c>
      <c r="K103" s="209">
        <v>0</v>
      </c>
      <c r="L103" s="296"/>
    </row>
    <row r="104" spans="7:12" hidden="1">
      <c r="G104" s="158" t="s">
        <v>37</v>
      </c>
      <c r="H104" s="118" t="s">
        <v>38</v>
      </c>
      <c r="I104" s="205">
        <v>20000</v>
      </c>
      <c r="J104" s="213">
        <v>5322.85</v>
      </c>
      <c r="K104" s="209">
        <v>0</v>
      </c>
      <c r="L104" s="296">
        <f t="shared" ref="L104:L114" si="8">(J104+K104)/I104*100</f>
        <v>26.614250000000002</v>
      </c>
    </row>
    <row r="105" spans="7:12" hidden="1">
      <c r="G105" s="144" t="s">
        <v>37</v>
      </c>
      <c r="H105" s="118" t="s">
        <v>38</v>
      </c>
      <c r="I105" s="202">
        <v>572</v>
      </c>
      <c r="J105" s="209">
        <v>212.83</v>
      </c>
      <c r="K105" s="209">
        <v>0</v>
      </c>
      <c r="L105" s="296">
        <f t="shared" si="8"/>
        <v>37.20804195804196</v>
      </c>
    </row>
    <row r="106" spans="7:12" hidden="1">
      <c r="G106" s="144" t="s">
        <v>37</v>
      </c>
      <c r="H106" s="118" t="s">
        <v>38</v>
      </c>
      <c r="I106" s="202">
        <v>1511</v>
      </c>
      <c r="J106" s="209">
        <v>1046.17</v>
      </c>
      <c r="K106" s="209">
        <v>0</v>
      </c>
      <c r="L106" s="296">
        <f t="shared" si="8"/>
        <v>69.236929185969558</v>
      </c>
    </row>
    <row r="107" spans="7:12" hidden="1">
      <c r="G107" s="144" t="s">
        <v>37</v>
      </c>
      <c r="H107" s="118" t="s">
        <v>38</v>
      </c>
      <c r="I107" s="202">
        <v>140000</v>
      </c>
      <c r="J107" s="209">
        <v>35913.39</v>
      </c>
      <c r="K107" s="209">
        <v>0</v>
      </c>
      <c r="L107" s="296">
        <f t="shared" si="8"/>
        <v>25.652421428571426</v>
      </c>
    </row>
    <row r="108" spans="7:12" ht="45" hidden="1">
      <c r="G108" s="144" t="s">
        <v>21</v>
      </c>
      <c r="H108" s="115" t="s">
        <v>163</v>
      </c>
      <c r="I108" s="202">
        <v>30000</v>
      </c>
      <c r="J108" s="209">
        <v>20089.64</v>
      </c>
      <c r="K108" s="209">
        <v>0</v>
      </c>
      <c r="L108" s="296">
        <f t="shared" si="8"/>
        <v>66.965466666666657</v>
      </c>
    </row>
    <row r="109" spans="7:12" ht="45" hidden="1">
      <c r="G109" s="144" t="s">
        <v>21</v>
      </c>
      <c r="H109" s="115" t="s">
        <v>163</v>
      </c>
      <c r="I109" s="202">
        <v>27894.76</v>
      </c>
      <c r="J109" s="209">
        <v>9337.08</v>
      </c>
      <c r="K109" s="209">
        <v>0</v>
      </c>
      <c r="L109" s="296">
        <f t="shared" si="8"/>
        <v>33.472523154886439</v>
      </c>
    </row>
    <row r="110" spans="7:12" ht="45" hidden="1">
      <c r="G110" s="144" t="s">
        <v>21</v>
      </c>
      <c r="H110" s="115" t="s">
        <v>163</v>
      </c>
      <c r="I110" s="205">
        <v>3000</v>
      </c>
      <c r="J110" s="213">
        <v>1950</v>
      </c>
      <c r="K110" s="209">
        <v>0</v>
      </c>
      <c r="L110" s="296">
        <f t="shared" si="8"/>
        <v>65</v>
      </c>
    </row>
    <row r="111" spans="7:12" ht="45" hidden="1">
      <c r="G111" s="144" t="s">
        <v>21</v>
      </c>
      <c r="H111" s="115" t="s">
        <v>163</v>
      </c>
      <c r="I111" s="202">
        <v>5800</v>
      </c>
      <c r="J111" s="209">
        <v>1980</v>
      </c>
      <c r="K111" s="209">
        <v>0</v>
      </c>
      <c r="L111" s="296">
        <f t="shared" si="8"/>
        <v>34.137931034482762</v>
      </c>
    </row>
    <row r="112" spans="7:12" ht="45" hidden="1">
      <c r="G112" s="144" t="s">
        <v>21</v>
      </c>
      <c r="H112" s="115" t="s">
        <v>163</v>
      </c>
      <c r="I112" s="202">
        <v>54124</v>
      </c>
      <c r="J112" s="209">
        <v>32585.65</v>
      </c>
      <c r="K112" s="209">
        <v>0</v>
      </c>
      <c r="L112" s="296">
        <f t="shared" si="8"/>
        <v>60.205546522799501</v>
      </c>
    </row>
    <row r="113" spans="7:12" ht="45" hidden="1">
      <c r="G113" s="144" t="s">
        <v>21</v>
      </c>
      <c r="H113" s="115" t="s">
        <v>163</v>
      </c>
      <c r="I113" s="202">
        <v>40843</v>
      </c>
      <c r="J113" s="209">
        <v>39371.14</v>
      </c>
      <c r="K113" s="209">
        <v>0</v>
      </c>
      <c r="L113" s="296">
        <f t="shared" si="8"/>
        <v>96.396298019244426</v>
      </c>
    </row>
    <row r="114" spans="7:12" ht="45" hidden="1">
      <c r="G114" s="152" t="s">
        <v>21</v>
      </c>
      <c r="H114" s="115" t="s">
        <v>163</v>
      </c>
      <c r="I114" s="202">
        <v>50000</v>
      </c>
      <c r="J114" s="209">
        <v>20315.560000000001</v>
      </c>
      <c r="K114" s="209">
        <v>0</v>
      </c>
      <c r="L114" s="296">
        <f t="shared" si="8"/>
        <v>40.631120000000003</v>
      </c>
    </row>
    <row r="115" spans="7:12" ht="45" hidden="1">
      <c r="G115" s="152" t="s">
        <v>21</v>
      </c>
      <c r="H115" s="115" t="s">
        <v>163</v>
      </c>
      <c r="I115" s="202">
        <v>0</v>
      </c>
      <c r="J115" s="209">
        <v>5250</v>
      </c>
      <c r="K115" s="209">
        <v>0</v>
      </c>
      <c r="L115" s="296"/>
    </row>
    <row r="116" spans="7:12" ht="45" hidden="1">
      <c r="G116" s="152" t="s">
        <v>21</v>
      </c>
      <c r="H116" s="115" t="s">
        <v>132</v>
      </c>
      <c r="I116" s="202">
        <v>27690</v>
      </c>
      <c r="J116" s="209">
        <v>18819.96</v>
      </c>
      <c r="K116" s="209">
        <v>0</v>
      </c>
      <c r="L116" s="296">
        <f>(J116+K116)/I116*100</f>
        <v>67.966630552546036</v>
      </c>
    </row>
    <row r="117" spans="7:12" ht="45" hidden="1">
      <c r="G117" s="152" t="s">
        <v>21</v>
      </c>
      <c r="H117" s="115" t="s">
        <v>163</v>
      </c>
      <c r="I117" s="202">
        <v>5000</v>
      </c>
      <c r="J117" s="209">
        <v>800</v>
      </c>
      <c r="K117" s="209">
        <v>0</v>
      </c>
      <c r="L117" s="296"/>
    </row>
    <row r="118" spans="7:12" ht="45" hidden="1">
      <c r="G118" s="152" t="s">
        <v>21</v>
      </c>
      <c r="H118" s="115" t="s">
        <v>163</v>
      </c>
      <c r="I118" s="202">
        <v>19600</v>
      </c>
      <c r="J118" s="209">
        <v>10182.379999999999</v>
      </c>
      <c r="K118" s="209">
        <v>0</v>
      </c>
      <c r="L118" s="296">
        <f>(J118+K118)/I118*100</f>
        <v>51.950918367346929</v>
      </c>
    </row>
    <row r="119" spans="7:12" ht="45" hidden="1">
      <c r="G119" s="152" t="s">
        <v>21</v>
      </c>
      <c r="H119" s="115" t="s">
        <v>163</v>
      </c>
      <c r="I119" s="202">
        <v>10690</v>
      </c>
      <c r="J119" s="209">
        <v>7150</v>
      </c>
      <c r="K119" s="209">
        <v>0</v>
      </c>
      <c r="L119" s="296">
        <f>(J119+K119)/I119*100</f>
        <v>66.884939195509816</v>
      </c>
    </row>
    <row r="120" spans="7:12" ht="45" hidden="1">
      <c r="G120" s="152" t="s">
        <v>21</v>
      </c>
      <c r="H120" s="115" t="s">
        <v>163</v>
      </c>
      <c r="I120" s="202">
        <v>20000</v>
      </c>
      <c r="J120" s="209">
        <v>24106.41</v>
      </c>
      <c r="K120" s="209">
        <v>0</v>
      </c>
      <c r="L120" s="296">
        <f>(J120+K120)/I120*100</f>
        <v>120.53205</v>
      </c>
    </row>
    <row r="121" spans="7:12" ht="22.5" hidden="1">
      <c r="G121" s="152" t="s">
        <v>22</v>
      </c>
      <c r="H121" s="115" t="s">
        <v>60</v>
      </c>
      <c r="I121" s="202">
        <v>880000</v>
      </c>
      <c r="J121" s="209">
        <v>0</v>
      </c>
      <c r="K121" s="209">
        <v>0</v>
      </c>
      <c r="L121" s="296">
        <f>(J121+K121)/I121*100</f>
        <v>0</v>
      </c>
    </row>
    <row r="122" spans="7:12" hidden="1">
      <c r="G122" s="152" t="s">
        <v>55</v>
      </c>
      <c r="H122" s="115" t="s">
        <v>57</v>
      </c>
      <c r="I122" s="202">
        <v>0</v>
      </c>
      <c r="J122" s="209">
        <v>640.4</v>
      </c>
      <c r="K122" s="293">
        <v>0</v>
      </c>
      <c r="L122" s="296"/>
    </row>
    <row r="123" spans="7:12" hidden="1">
      <c r="G123" s="144" t="s">
        <v>55</v>
      </c>
      <c r="H123" s="115" t="s">
        <v>57</v>
      </c>
      <c r="I123" s="202">
        <v>430000</v>
      </c>
      <c r="J123" s="209">
        <v>184756.19</v>
      </c>
      <c r="K123" s="209">
        <v>0</v>
      </c>
      <c r="L123" s="296">
        <f>(J123+K123)/I123*100</f>
        <v>42.966555813953491</v>
      </c>
    </row>
    <row r="124" spans="7:12" hidden="1">
      <c r="G124" s="144" t="s">
        <v>55</v>
      </c>
      <c r="H124" s="115" t="s">
        <v>57</v>
      </c>
      <c r="I124" s="202">
        <v>600</v>
      </c>
      <c r="J124" s="209">
        <v>882</v>
      </c>
      <c r="K124" s="209">
        <v>0</v>
      </c>
      <c r="L124" s="296">
        <f>(J124+K124)/I124*100</f>
        <v>147</v>
      </c>
    </row>
    <row r="125" spans="7:12" hidden="1">
      <c r="G125" s="144" t="s">
        <v>55</v>
      </c>
      <c r="H125" s="115" t="s">
        <v>57</v>
      </c>
      <c r="I125" s="202">
        <v>5000</v>
      </c>
      <c r="J125" s="209">
        <v>8345.56</v>
      </c>
      <c r="K125" s="209">
        <v>0</v>
      </c>
      <c r="L125" s="296">
        <f>(J125+K125)/I125*100</f>
        <v>166.91119999999998</v>
      </c>
    </row>
    <row r="126" spans="7:12" hidden="1">
      <c r="G126" s="144" t="s">
        <v>55</v>
      </c>
      <c r="H126" s="115" t="s">
        <v>57</v>
      </c>
      <c r="I126" s="202">
        <v>0</v>
      </c>
      <c r="J126" s="209">
        <v>18440.5</v>
      </c>
      <c r="K126" s="209">
        <v>0</v>
      </c>
      <c r="L126" s="296"/>
    </row>
    <row r="127" spans="7:12" hidden="1">
      <c r="G127" s="144" t="s">
        <v>55</v>
      </c>
      <c r="H127" s="115" t="s">
        <v>57</v>
      </c>
      <c r="I127" s="202">
        <v>120000</v>
      </c>
      <c r="J127" s="209">
        <v>109731.2</v>
      </c>
      <c r="K127" s="209">
        <v>0</v>
      </c>
      <c r="L127" s="296">
        <f>(J127+K127)/I127*100</f>
        <v>91.442666666666668</v>
      </c>
    </row>
    <row r="128" spans="7:12" hidden="1">
      <c r="G128" s="144" t="s">
        <v>55</v>
      </c>
      <c r="H128" s="115" t="s">
        <v>57</v>
      </c>
      <c r="I128" s="202">
        <v>0</v>
      </c>
      <c r="J128" s="209">
        <v>7036.3</v>
      </c>
      <c r="K128" s="209">
        <v>0</v>
      </c>
      <c r="L128" s="296"/>
    </row>
    <row r="129" spans="7:12" hidden="1">
      <c r="G129" s="144" t="s">
        <v>55</v>
      </c>
      <c r="H129" s="115" t="s">
        <v>57</v>
      </c>
      <c r="I129" s="202">
        <v>0</v>
      </c>
      <c r="J129" s="209">
        <v>203.39</v>
      </c>
      <c r="K129" s="202">
        <v>0</v>
      </c>
      <c r="L129" s="296"/>
    </row>
    <row r="130" spans="7:12" hidden="1">
      <c r="G130" s="144" t="s">
        <v>55</v>
      </c>
      <c r="H130" s="115" t="s">
        <v>57</v>
      </c>
      <c r="I130" s="202">
        <v>8000</v>
      </c>
      <c r="J130" s="209">
        <v>5136.51</v>
      </c>
      <c r="K130" s="209">
        <v>0</v>
      </c>
      <c r="L130" s="296">
        <f>(J130+K130)/I130*100</f>
        <v>64.206375000000008</v>
      </c>
    </row>
    <row r="131" spans="7:12" hidden="1">
      <c r="G131" s="144" t="s">
        <v>55</v>
      </c>
      <c r="H131" s="115" t="s">
        <v>57</v>
      </c>
      <c r="I131" s="202">
        <v>2800</v>
      </c>
      <c r="J131" s="209">
        <v>3772</v>
      </c>
      <c r="K131" s="209">
        <v>0</v>
      </c>
      <c r="L131" s="296">
        <f>(J131+K131)/I131*100</f>
        <v>134.71428571428572</v>
      </c>
    </row>
    <row r="132" spans="7:12" hidden="1">
      <c r="G132" s="144" t="s">
        <v>55</v>
      </c>
      <c r="H132" s="115" t="s">
        <v>57</v>
      </c>
      <c r="I132" s="202">
        <v>15500</v>
      </c>
      <c r="J132" s="209">
        <v>15236.5</v>
      </c>
      <c r="K132" s="209">
        <v>0</v>
      </c>
      <c r="L132" s="296">
        <f>(J132+K132)/I132*100</f>
        <v>98.3</v>
      </c>
    </row>
    <row r="133" spans="7:12" hidden="1">
      <c r="G133" s="144" t="s">
        <v>55</v>
      </c>
      <c r="H133" s="115" t="s">
        <v>57</v>
      </c>
      <c r="I133" s="202">
        <v>24000</v>
      </c>
      <c r="J133" s="209">
        <v>7615.68</v>
      </c>
      <c r="K133" s="209">
        <v>0</v>
      </c>
      <c r="L133" s="296">
        <f>(J133+K133)/I133*100</f>
        <v>31.731999999999999</v>
      </c>
    </row>
    <row r="134" spans="7:12" hidden="1">
      <c r="G134" s="144" t="s">
        <v>185</v>
      </c>
      <c r="H134" s="115" t="s">
        <v>188</v>
      </c>
      <c r="I134" s="202">
        <v>0</v>
      </c>
      <c r="J134" s="209">
        <v>8</v>
      </c>
      <c r="K134" s="209">
        <v>0</v>
      </c>
      <c r="L134" s="296"/>
    </row>
    <row r="135" spans="7:12" hidden="1">
      <c r="G135" s="144" t="s">
        <v>185</v>
      </c>
      <c r="H135" s="115" t="s">
        <v>188</v>
      </c>
      <c r="I135" s="202">
        <v>0</v>
      </c>
      <c r="J135" s="209">
        <v>175</v>
      </c>
      <c r="K135" s="209">
        <v>0</v>
      </c>
      <c r="L135" s="296"/>
    </row>
    <row r="136" spans="7:12" ht="45" hidden="1">
      <c r="G136" s="144" t="s">
        <v>186</v>
      </c>
      <c r="H136" s="115" t="s">
        <v>293</v>
      </c>
      <c r="I136" s="202">
        <v>0</v>
      </c>
      <c r="J136" s="209">
        <v>22235.599999999999</v>
      </c>
      <c r="K136" s="209">
        <v>0</v>
      </c>
      <c r="L136" s="296"/>
    </row>
    <row r="137" spans="7:12" hidden="1">
      <c r="G137" s="144" t="s">
        <v>184</v>
      </c>
      <c r="H137" s="115" t="s">
        <v>187</v>
      </c>
      <c r="I137" s="205">
        <v>0</v>
      </c>
      <c r="J137" s="213">
        <v>629.83000000000004</v>
      </c>
      <c r="K137" s="209">
        <v>0</v>
      </c>
      <c r="L137" s="296"/>
    </row>
    <row r="138" spans="7:12" hidden="1">
      <c r="G138" s="144" t="s">
        <v>49</v>
      </c>
      <c r="H138" s="115" t="s">
        <v>59</v>
      </c>
      <c r="I138" s="202">
        <v>1500</v>
      </c>
      <c r="J138" s="209">
        <v>1089.23</v>
      </c>
      <c r="K138" s="293">
        <v>0</v>
      </c>
      <c r="L138" s="296">
        <f>(J138+K138)/I138*100</f>
        <v>72.615333333333325</v>
      </c>
    </row>
    <row r="139" spans="7:12" hidden="1">
      <c r="G139" s="144" t="s">
        <v>49</v>
      </c>
      <c r="H139" s="115" t="s">
        <v>59</v>
      </c>
      <c r="I139" s="202">
        <v>27</v>
      </c>
      <c r="J139" s="209">
        <v>2236.19</v>
      </c>
      <c r="K139" s="209">
        <v>0</v>
      </c>
      <c r="L139" s="296"/>
    </row>
    <row r="140" spans="7:12" hidden="1">
      <c r="G140" s="144" t="s">
        <v>49</v>
      </c>
      <c r="H140" s="115" t="s">
        <v>59</v>
      </c>
      <c r="I140" s="202">
        <v>0</v>
      </c>
      <c r="J140" s="209">
        <v>602.9</v>
      </c>
      <c r="K140" s="209">
        <v>0</v>
      </c>
      <c r="L140" s="296"/>
    </row>
    <row r="141" spans="7:12" hidden="1">
      <c r="G141" s="144" t="s">
        <v>49</v>
      </c>
      <c r="H141" s="115" t="s">
        <v>59</v>
      </c>
      <c r="I141" s="202">
        <v>0</v>
      </c>
      <c r="J141" s="209">
        <v>182.11</v>
      </c>
      <c r="K141" s="209">
        <v>0</v>
      </c>
      <c r="L141" s="296"/>
    </row>
    <row r="142" spans="7:12" hidden="1">
      <c r="G142" s="144" t="s">
        <v>49</v>
      </c>
      <c r="H142" s="115" t="s">
        <v>59</v>
      </c>
      <c r="I142" s="202">
        <v>6000</v>
      </c>
      <c r="J142" s="209">
        <v>3110.72</v>
      </c>
      <c r="K142" s="209">
        <v>0</v>
      </c>
      <c r="L142" s="296">
        <f>(J142+K142)/I142*100</f>
        <v>51.845333333333329</v>
      </c>
    </row>
    <row r="143" spans="7:12" hidden="1">
      <c r="G143" s="144" t="s">
        <v>49</v>
      </c>
      <c r="H143" s="118" t="s">
        <v>59</v>
      </c>
      <c r="I143" s="202">
        <v>60000</v>
      </c>
      <c r="J143" s="209">
        <v>70566.78</v>
      </c>
      <c r="K143" s="209">
        <v>0</v>
      </c>
      <c r="L143" s="296">
        <f>(J143+K143)/I143*100</f>
        <v>117.6113</v>
      </c>
    </row>
    <row r="144" spans="7:12" hidden="1">
      <c r="G144" s="144" t="s">
        <v>49</v>
      </c>
      <c r="H144" s="115" t="s">
        <v>59</v>
      </c>
      <c r="I144" s="202">
        <v>450</v>
      </c>
      <c r="J144" s="209">
        <v>261.27999999999997</v>
      </c>
      <c r="K144" s="209">
        <v>0</v>
      </c>
      <c r="L144" s="296">
        <f>(J144+K144)/I144*100</f>
        <v>58.062222222222218</v>
      </c>
    </row>
    <row r="145" spans="4:12" hidden="1">
      <c r="G145" s="144" t="s">
        <v>49</v>
      </c>
      <c r="H145" s="115" t="s">
        <v>59</v>
      </c>
      <c r="I145" s="202">
        <v>920</v>
      </c>
      <c r="J145" s="209">
        <v>422.16</v>
      </c>
      <c r="K145" s="209">
        <v>0</v>
      </c>
      <c r="L145" s="296">
        <f>(J145+K145)/I145*100</f>
        <v>45.88695652173913</v>
      </c>
    </row>
    <row r="146" spans="4:12" hidden="1">
      <c r="G146" s="144" t="s">
        <v>49</v>
      </c>
      <c r="H146" s="115" t="s">
        <v>59</v>
      </c>
      <c r="I146" s="202">
        <v>2185</v>
      </c>
      <c r="J146" s="209">
        <v>1121.03</v>
      </c>
      <c r="K146" s="209">
        <v>0</v>
      </c>
      <c r="L146" s="296">
        <f>(J146+K146)/I146*100</f>
        <v>51.30572082379863</v>
      </c>
    </row>
    <row r="147" spans="4:12" hidden="1">
      <c r="G147" s="144" t="s">
        <v>49</v>
      </c>
      <c r="H147" s="115" t="s">
        <v>59</v>
      </c>
      <c r="I147" s="202">
        <v>0</v>
      </c>
      <c r="J147" s="209">
        <v>192.84</v>
      </c>
      <c r="K147" s="209">
        <v>0</v>
      </c>
      <c r="L147" s="296"/>
    </row>
    <row r="148" spans="4:12" hidden="1">
      <c r="G148" s="144" t="s">
        <v>49</v>
      </c>
      <c r="H148" s="115" t="s">
        <v>59</v>
      </c>
      <c r="I148" s="202">
        <v>1200</v>
      </c>
      <c r="J148" s="209">
        <v>1297.1199999999999</v>
      </c>
      <c r="K148" s="209">
        <v>0</v>
      </c>
      <c r="L148" s="296">
        <f>(J148+K148)/I148*100</f>
        <v>108.09333333333333</v>
      </c>
    </row>
    <row r="149" spans="4:12" hidden="1">
      <c r="G149" s="144" t="s">
        <v>49</v>
      </c>
      <c r="H149" s="115" t="s">
        <v>59</v>
      </c>
      <c r="I149" s="202">
        <v>0</v>
      </c>
      <c r="J149" s="209">
        <v>223.81</v>
      </c>
      <c r="K149" s="202">
        <v>0</v>
      </c>
      <c r="L149" s="296"/>
    </row>
    <row r="150" spans="4:12" hidden="1">
      <c r="G150" s="144" t="s">
        <v>49</v>
      </c>
      <c r="H150" s="115" t="s">
        <v>59</v>
      </c>
      <c r="I150" s="202">
        <v>1000</v>
      </c>
      <c r="J150" s="209">
        <v>1113.3699999999999</v>
      </c>
      <c r="K150" s="209">
        <v>0</v>
      </c>
      <c r="L150" s="296">
        <f>(J150+K150)/I150*100</f>
        <v>111.337</v>
      </c>
    </row>
    <row r="151" spans="4:12" hidden="1">
      <c r="G151" s="144" t="s">
        <v>49</v>
      </c>
      <c r="H151" s="115" t="s">
        <v>59</v>
      </c>
      <c r="I151" s="202">
        <v>1500</v>
      </c>
      <c r="J151" s="209">
        <v>717.32</v>
      </c>
      <c r="K151" s="209">
        <v>0</v>
      </c>
      <c r="L151" s="296">
        <f>(J151+K151)/I151*100</f>
        <v>47.821333333333335</v>
      </c>
    </row>
    <row r="152" spans="4:12" hidden="1">
      <c r="G152" s="144" t="s">
        <v>49</v>
      </c>
      <c r="H152" s="115" t="s">
        <v>59</v>
      </c>
      <c r="I152" s="202">
        <v>0</v>
      </c>
      <c r="J152" s="209">
        <v>1383.83</v>
      </c>
      <c r="K152" s="209">
        <v>0</v>
      </c>
      <c r="L152" s="296"/>
    </row>
    <row r="153" spans="4:12" hidden="1">
      <c r="G153" s="144" t="s">
        <v>49</v>
      </c>
      <c r="H153" s="115" t="s">
        <v>59</v>
      </c>
      <c r="I153" s="202">
        <v>280</v>
      </c>
      <c r="J153" s="209">
        <v>366.92</v>
      </c>
      <c r="K153" s="209">
        <v>0</v>
      </c>
      <c r="L153" s="296">
        <f>(J153+K153)/I153*100</f>
        <v>131.04285714285714</v>
      </c>
    </row>
    <row r="154" spans="4:12" hidden="1">
      <c r="G154" s="144" t="s">
        <v>49</v>
      </c>
      <c r="H154" s="115" t="s">
        <v>59</v>
      </c>
      <c r="I154" s="202">
        <v>200</v>
      </c>
      <c r="J154" s="209">
        <v>111.37</v>
      </c>
      <c r="K154" s="209">
        <v>0</v>
      </c>
      <c r="L154" s="296">
        <f>(J154+K154)/I154*100</f>
        <v>55.685000000000009</v>
      </c>
    </row>
    <row r="155" spans="4:12" hidden="1">
      <c r="G155" s="144" t="s">
        <v>49</v>
      </c>
      <c r="H155" s="115" t="s">
        <v>59</v>
      </c>
      <c r="I155" s="202">
        <v>500</v>
      </c>
      <c r="J155" s="209">
        <v>357</v>
      </c>
      <c r="K155" s="209">
        <v>0</v>
      </c>
      <c r="L155" s="296">
        <f>(J155+K155)/I155*100</f>
        <v>71.399999999999991</v>
      </c>
    </row>
    <row r="156" spans="4:12" hidden="1">
      <c r="G156" s="144" t="s">
        <v>100</v>
      </c>
      <c r="H156" s="286" t="s">
        <v>154</v>
      </c>
      <c r="I156" s="202">
        <v>0</v>
      </c>
      <c r="J156" s="209">
        <v>104</v>
      </c>
      <c r="K156" s="209">
        <v>0</v>
      </c>
      <c r="L156" s="296"/>
    </row>
    <row r="157" spans="4:12" hidden="1">
      <c r="D157">
        <v>28922658.32</v>
      </c>
      <c r="G157" s="144" t="s">
        <v>56</v>
      </c>
      <c r="H157" s="287" t="s">
        <v>58</v>
      </c>
      <c r="I157" s="202">
        <v>0</v>
      </c>
      <c r="J157" s="209">
        <v>676.41</v>
      </c>
      <c r="K157" s="293">
        <v>0</v>
      </c>
      <c r="L157" s="296"/>
    </row>
    <row r="158" spans="4:12" hidden="1">
      <c r="D158" s="39">
        <f>D48-D157</f>
        <v>-28922658.32</v>
      </c>
      <c r="G158" s="144" t="s">
        <v>56</v>
      </c>
      <c r="H158" s="115" t="s">
        <v>58</v>
      </c>
      <c r="I158" s="202">
        <v>15000</v>
      </c>
      <c r="J158" s="209">
        <v>18181.89</v>
      </c>
      <c r="K158" s="293">
        <v>0</v>
      </c>
      <c r="L158" s="296">
        <f>(J158+K158)/I158*100</f>
        <v>121.21260000000001</v>
      </c>
    </row>
    <row r="159" spans="4:12" hidden="1">
      <c r="G159" s="144" t="s">
        <v>56</v>
      </c>
      <c r="H159" s="115" t="s">
        <v>58</v>
      </c>
      <c r="I159" s="202">
        <v>15000</v>
      </c>
      <c r="J159" s="209">
        <v>3645.81</v>
      </c>
      <c r="K159" s="209">
        <v>0</v>
      </c>
      <c r="L159" s="296"/>
    </row>
    <row r="160" spans="4:12" hidden="1">
      <c r="G160" s="144" t="s">
        <v>56</v>
      </c>
      <c r="H160" s="115" t="s">
        <v>58</v>
      </c>
      <c r="I160" s="202">
        <v>239518.92</v>
      </c>
      <c r="J160" s="209">
        <v>239518.92</v>
      </c>
      <c r="K160" s="209">
        <v>0</v>
      </c>
      <c r="L160" s="296">
        <f>(J160+K160)/I160*100</f>
        <v>100</v>
      </c>
    </row>
    <row r="161" spans="3:12" hidden="1">
      <c r="G161" s="144" t="s">
        <v>56</v>
      </c>
      <c r="H161" s="115" t="s">
        <v>58</v>
      </c>
      <c r="I161" s="202">
        <v>10000</v>
      </c>
      <c r="J161" s="209">
        <v>24777.25</v>
      </c>
      <c r="K161" s="209">
        <v>0</v>
      </c>
      <c r="L161" s="296">
        <f>(J161+K161)/I161*100</f>
        <v>247.77250000000001</v>
      </c>
    </row>
    <row r="162" spans="3:12" hidden="1">
      <c r="G162" s="144" t="s">
        <v>56</v>
      </c>
      <c r="H162" s="115" t="s">
        <v>58</v>
      </c>
      <c r="I162" s="202">
        <v>0</v>
      </c>
      <c r="J162" s="209">
        <v>900</v>
      </c>
      <c r="K162" s="209">
        <v>0</v>
      </c>
      <c r="L162" s="296"/>
    </row>
    <row r="163" spans="3:12" hidden="1">
      <c r="G163" s="144" t="s">
        <v>56</v>
      </c>
      <c r="H163" s="115" t="s">
        <v>58</v>
      </c>
      <c r="I163" s="202">
        <v>800</v>
      </c>
      <c r="J163" s="209">
        <v>356</v>
      </c>
      <c r="K163" s="209">
        <v>0</v>
      </c>
      <c r="L163" s="296">
        <f>(J163+K163)/I163*100</f>
        <v>44.5</v>
      </c>
    </row>
    <row r="164" spans="3:12" hidden="1">
      <c r="G164" s="144" t="s">
        <v>56</v>
      </c>
      <c r="H164" s="115" t="s">
        <v>58</v>
      </c>
      <c r="I164" s="202">
        <v>6024.99</v>
      </c>
      <c r="J164" s="209">
        <v>11592.31</v>
      </c>
      <c r="K164" s="209">
        <v>0</v>
      </c>
      <c r="L164" s="296">
        <f>(J164+K164)/I164*100</f>
        <v>192.40380481959306</v>
      </c>
    </row>
    <row r="165" spans="3:12" hidden="1">
      <c r="G165" s="144" t="s">
        <v>56</v>
      </c>
      <c r="H165" s="115" t="s">
        <v>58</v>
      </c>
      <c r="I165" s="202">
        <v>5531</v>
      </c>
      <c r="J165" s="209">
        <v>2374.67</v>
      </c>
      <c r="K165" s="209">
        <v>0</v>
      </c>
      <c r="L165" s="296">
        <f>(J165+K165)/I165*100</f>
        <v>42.933827517627918</v>
      </c>
    </row>
    <row r="166" spans="3:12" hidden="1">
      <c r="G166" s="144" t="s">
        <v>56</v>
      </c>
      <c r="H166" s="115" t="s">
        <v>58</v>
      </c>
      <c r="I166" s="202">
        <v>7647</v>
      </c>
      <c r="J166" s="209">
        <v>6857.1</v>
      </c>
      <c r="K166" s="209">
        <v>0</v>
      </c>
      <c r="L166" s="296">
        <f>(J166+K166)/I166*100</f>
        <v>89.670459003530794</v>
      </c>
    </row>
    <row r="167" spans="3:12" hidden="1">
      <c r="G167" s="144" t="s">
        <v>56</v>
      </c>
      <c r="H167" s="115" t="s">
        <v>58</v>
      </c>
      <c r="I167" s="202">
        <v>0</v>
      </c>
      <c r="J167" s="209">
        <v>3067.71</v>
      </c>
      <c r="K167" s="202">
        <v>0</v>
      </c>
      <c r="L167" s="296"/>
    </row>
    <row r="168" spans="3:12" hidden="1">
      <c r="G168" s="144" t="s">
        <v>56</v>
      </c>
      <c r="H168" s="115" t="s">
        <v>58</v>
      </c>
      <c r="I168" s="202">
        <v>0</v>
      </c>
      <c r="J168" s="209">
        <v>279.64</v>
      </c>
      <c r="K168" s="209">
        <v>0</v>
      </c>
      <c r="L168" s="296"/>
    </row>
    <row r="169" spans="3:12" hidden="1">
      <c r="G169" s="144" t="s">
        <v>56</v>
      </c>
      <c r="H169" s="115" t="s">
        <v>58</v>
      </c>
      <c r="I169" s="202">
        <v>5000</v>
      </c>
      <c r="J169" s="209">
        <v>495.07</v>
      </c>
      <c r="K169" s="209">
        <v>0</v>
      </c>
      <c r="L169" s="296">
        <f>(J169+K169)/I169*100</f>
        <v>9.9014000000000006</v>
      </c>
    </row>
    <row r="170" spans="3:12" hidden="1">
      <c r="G170" s="144" t="s">
        <v>56</v>
      </c>
      <c r="H170" s="115" t="s">
        <v>58</v>
      </c>
      <c r="I170" s="202">
        <v>100</v>
      </c>
      <c r="J170" s="209">
        <v>4368.18</v>
      </c>
      <c r="K170" s="209">
        <v>0</v>
      </c>
      <c r="L170" s="296">
        <f>(J170+K170)/I170*100</f>
        <v>4368.18</v>
      </c>
    </row>
    <row r="171" spans="3:12" hidden="1">
      <c r="G171" s="144" t="s">
        <v>56</v>
      </c>
      <c r="H171" s="115" t="s">
        <v>58</v>
      </c>
      <c r="I171" s="202">
        <v>120</v>
      </c>
      <c r="J171" s="209">
        <v>3867.36</v>
      </c>
      <c r="K171" s="209">
        <v>0</v>
      </c>
      <c r="L171" s="296">
        <f>(J171+K171)/I171*100</f>
        <v>3222.8</v>
      </c>
    </row>
    <row r="172" spans="3:12" hidden="1">
      <c r="G172" s="144" t="s">
        <v>56</v>
      </c>
      <c r="H172" s="115" t="s">
        <v>58</v>
      </c>
      <c r="I172" s="202">
        <v>60</v>
      </c>
      <c r="J172" s="209">
        <v>36</v>
      </c>
      <c r="K172" s="209">
        <v>0</v>
      </c>
      <c r="L172" s="296">
        <f>(J172+K172)/I172*100</f>
        <v>60</v>
      </c>
    </row>
    <row r="173" spans="3:12" hidden="1">
      <c r="G173" s="144" t="s">
        <v>56</v>
      </c>
      <c r="H173" s="115" t="s">
        <v>58</v>
      </c>
      <c r="I173" s="202">
        <v>0</v>
      </c>
      <c r="J173" s="209">
        <v>5847.16</v>
      </c>
      <c r="K173" s="209">
        <v>0</v>
      </c>
      <c r="L173" s="296"/>
    </row>
    <row r="175" spans="3:12">
      <c r="C175" s="217">
        <f>C46+C41+C26</f>
        <v>51570716.359999999</v>
      </c>
      <c r="D175" s="217">
        <f>D46+D41+D26</f>
        <v>28405641.469999999</v>
      </c>
    </row>
  </sheetData>
  <sortState ref="G199:L322">
    <sortCondition ref="G198"/>
  </sortState>
  <mergeCells count="3">
    <mergeCell ref="B30:B31"/>
    <mergeCell ref="A41:B41"/>
    <mergeCell ref="A26:B2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3:H655"/>
  <sheetViews>
    <sheetView topLeftCell="A10" workbookViewId="0">
      <selection activeCell="F25" sqref="F25"/>
    </sheetView>
  </sheetViews>
  <sheetFormatPr defaultRowHeight="12.75"/>
  <cols>
    <col min="1" max="1" width="5.85546875" customWidth="1"/>
    <col min="2" max="2" width="8" customWidth="1"/>
    <col min="3" max="3" width="6.5703125" customWidth="1"/>
    <col min="4" max="4" width="5.28515625" customWidth="1"/>
    <col min="5" max="5" width="39.85546875" customWidth="1"/>
    <col min="6" max="6" width="15.140625" customWidth="1"/>
    <col min="7" max="7" width="14.85546875" customWidth="1"/>
    <col min="8" max="8" width="11.42578125" customWidth="1"/>
  </cols>
  <sheetData>
    <row r="3" spans="1:8">
      <c r="A3" s="375"/>
      <c r="B3" s="375"/>
      <c r="C3" s="376"/>
      <c r="D3" s="376"/>
      <c r="E3" s="377"/>
      <c r="F3" s="378"/>
      <c r="G3" s="632" t="s">
        <v>320</v>
      </c>
      <c r="H3" s="632"/>
    </row>
    <row r="4" spans="1:8" ht="15.75">
      <c r="A4" s="633" t="s">
        <v>321</v>
      </c>
      <c r="B4" s="633"/>
      <c r="C4" s="633"/>
      <c r="D4" s="633"/>
      <c r="E4" s="633"/>
      <c r="F4" s="633"/>
      <c r="G4" s="633"/>
      <c r="H4" s="633"/>
    </row>
    <row r="5" spans="1:8" ht="15.75">
      <c r="A5" s="633" t="s">
        <v>3</v>
      </c>
      <c r="B5" s="633"/>
      <c r="C5" s="633"/>
      <c r="D5" s="633"/>
      <c r="E5" s="633"/>
      <c r="F5" s="633"/>
      <c r="G5" s="633"/>
      <c r="H5" s="633"/>
    </row>
    <row r="6" spans="1:8" ht="15.75">
      <c r="A6" s="633" t="s">
        <v>399</v>
      </c>
      <c r="B6" s="633"/>
      <c r="C6" s="633"/>
      <c r="D6" s="633"/>
      <c r="E6" s="633"/>
      <c r="F6" s="633"/>
      <c r="G6" s="633"/>
      <c r="H6" s="633"/>
    </row>
    <row r="7" spans="1:8">
      <c r="A7" s="375"/>
      <c r="B7" s="375"/>
      <c r="C7" s="376"/>
      <c r="D7" s="376"/>
      <c r="E7" s="377"/>
      <c r="F7" s="378"/>
      <c r="G7" s="378"/>
      <c r="H7" s="379"/>
    </row>
    <row r="8" spans="1:8">
      <c r="A8" s="380" t="s">
        <v>0</v>
      </c>
      <c r="B8" s="380" t="s">
        <v>8</v>
      </c>
      <c r="C8" s="627" t="s">
        <v>322</v>
      </c>
      <c r="D8" s="627"/>
      <c r="E8" s="381" t="s">
        <v>172</v>
      </c>
      <c r="F8" s="382" t="s">
        <v>135</v>
      </c>
      <c r="G8" s="382" t="s">
        <v>323</v>
      </c>
      <c r="H8" s="383" t="s">
        <v>136</v>
      </c>
    </row>
    <row r="9" spans="1:8">
      <c r="A9" s="384">
        <v>1</v>
      </c>
      <c r="B9" s="384">
        <v>2</v>
      </c>
      <c r="C9" s="384">
        <v>3</v>
      </c>
      <c r="D9" s="384">
        <v>4</v>
      </c>
      <c r="E9" s="384">
        <v>5</v>
      </c>
      <c r="F9" s="385">
        <v>6</v>
      </c>
      <c r="G9" s="385">
        <v>7</v>
      </c>
      <c r="H9" s="385">
        <v>8</v>
      </c>
    </row>
    <row r="10" spans="1:8">
      <c r="A10" s="386" t="s">
        <v>13</v>
      </c>
      <c r="B10" s="387"/>
      <c r="C10" s="388"/>
      <c r="D10" s="388"/>
      <c r="E10" s="389" t="s">
        <v>27</v>
      </c>
      <c r="F10" s="390">
        <f>F11+F13</f>
        <v>0</v>
      </c>
      <c r="G10" s="390">
        <f>G11+G13</f>
        <v>0</v>
      </c>
      <c r="H10" s="391" t="e">
        <f>G10/F10*100</f>
        <v>#DIV/0!</v>
      </c>
    </row>
    <row r="11" spans="1:8" ht="15.75" customHeight="1">
      <c r="A11" s="634"/>
      <c r="B11" s="392" t="s">
        <v>48</v>
      </c>
      <c r="C11" s="393"/>
      <c r="D11" s="393"/>
      <c r="E11" s="394" t="s">
        <v>64</v>
      </c>
      <c r="F11" s="395">
        <f>F12</f>
        <v>0</v>
      </c>
      <c r="G11" s="395">
        <f>G12</f>
        <v>0</v>
      </c>
      <c r="H11" s="396" t="e">
        <f t="shared" ref="H11:H74" si="0">G11/F11*100</f>
        <v>#DIV/0!</v>
      </c>
    </row>
    <row r="12" spans="1:8">
      <c r="A12" s="634"/>
      <c r="B12" s="380"/>
      <c r="C12" s="393">
        <v>430</v>
      </c>
      <c r="D12" s="393">
        <v>0</v>
      </c>
      <c r="E12" s="397" t="s">
        <v>324</v>
      </c>
      <c r="F12" s="395"/>
      <c r="G12" s="395"/>
      <c r="H12" s="396" t="e">
        <f t="shared" si="0"/>
        <v>#DIV/0!</v>
      </c>
    </row>
    <row r="13" spans="1:8">
      <c r="A13" s="634"/>
      <c r="B13" s="392" t="s">
        <v>194</v>
      </c>
      <c r="C13" s="393"/>
      <c r="D13" s="393"/>
      <c r="E13" s="398" t="s">
        <v>74</v>
      </c>
      <c r="F13" s="395">
        <f>F14</f>
        <v>0</v>
      </c>
      <c r="G13" s="395">
        <f>G14</f>
        <v>0</v>
      </c>
      <c r="H13" s="396" t="e">
        <f t="shared" si="0"/>
        <v>#DIV/0!</v>
      </c>
    </row>
    <row r="14" spans="1:8" ht="24.75" customHeight="1">
      <c r="A14" s="634"/>
      <c r="B14" s="380"/>
      <c r="C14" s="393">
        <v>450</v>
      </c>
      <c r="D14" s="393">
        <v>0</v>
      </c>
      <c r="E14" s="399" t="s">
        <v>325</v>
      </c>
      <c r="F14" s="395"/>
      <c r="G14" s="395"/>
      <c r="H14" s="396" t="e">
        <f t="shared" si="0"/>
        <v>#DIV/0!</v>
      </c>
    </row>
    <row r="15" spans="1:8">
      <c r="A15" s="386" t="s">
        <v>14</v>
      </c>
      <c r="B15" s="387"/>
      <c r="C15" s="388"/>
      <c r="D15" s="388"/>
      <c r="E15" s="400" t="s">
        <v>28</v>
      </c>
      <c r="F15" s="390">
        <f>F16+F18</f>
        <v>0</v>
      </c>
      <c r="G15" s="390">
        <f>G16+G18</f>
        <v>0</v>
      </c>
      <c r="H15" s="391" t="e">
        <f t="shared" si="0"/>
        <v>#DIV/0!</v>
      </c>
    </row>
    <row r="16" spans="1:8" ht="15.75" customHeight="1">
      <c r="A16" s="634"/>
      <c r="B16" s="392" t="s">
        <v>66</v>
      </c>
      <c r="C16" s="393"/>
      <c r="D16" s="393"/>
      <c r="E16" s="159" t="s">
        <v>67</v>
      </c>
      <c r="F16" s="395">
        <f>F17</f>
        <v>0</v>
      </c>
      <c r="G16" s="395">
        <f>G17</f>
        <v>0</v>
      </c>
      <c r="H16" s="396" t="e">
        <f t="shared" si="0"/>
        <v>#DIV/0!</v>
      </c>
    </row>
    <row r="17" spans="1:8">
      <c r="A17" s="634"/>
      <c r="B17" s="380"/>
      <c r="C17" s="393">
        <v>303</v>
      </c>
      <c r="D17" s="393">
        <v>0</v>
      </c>
      <c r="E17" s="397" t="s">
        <v>326</v>
      </c>
      <c r="F17" s="395"/>
      <c r="G17" s="395"/>
      <c r="H17" s="396" t="e">
        <f t="shared" si="0"/>
        <v>#DIV/0!</v>
      </c>
    </row>
    <row r="18" spans="1:8" ht="16.5" customHeight="1">
      <c r="A18" s="634"/>
      <c r="B18" s="392" t="s">
        <v>101</v>
      </c>
      <c r="C18" s="393"/>
      <c r="D18" s="393"/>
      <c r="E18" s="159" t="s">
        <v>102</v>
      </c>
      <c r="F18" s="395">
        <f>F20+F21+F19</f>
        <v>0</v>
      </c>
      <c r="G18" s="395">
        <f>G20+G21+G19</f>
        <v>0</v>
      </c>
      <c r="H18" s="396" t="e">
        <f t="shared" si="0"/>
        <v>#DIV/0!</v>
      </c>
    </row>
    <row r="19" spans="1:8">
      <c r="A19" s="634"/>
      <c r="B19" s="635"/>
      <c r="C19" s="393">
        <v>421</v>
      </c>
      <c r="D19" s="393">
        <v>0</v>
      </c>
      <c r="E19" s="401" t="s">
        <v>327</v>
      </c>
      <c r="F19" s="395"/>
      <c r="G19" s="395"/>
      <c r="H19" s="396" t="e">
        <f t="shared" si="0"/>
        <v>#DIV/0!</v>
      </c>
    </row>
    <row r="20" spans="1:8">
      <c r="A20" s="634"/>
      <c r="B20" s="636"/>
      <c r="C20" s="393">
        <v>430</v>
      </c>
      <c r="D20" s="393">
        <v>0</v>
      </c>
      <c r="E20" s="397" t="s">
        <v>324</v>
      </c>
      <c r="F20" s="395"/>
      <c r="G20" s="395"/>
      <c r="H20" s="396" t="e">
        <f t="shared" si="0"/>
        <v>#DIV/0!</v>
      </c>
    </row>
    <row r="21" spans="1:8">
      <c r="A21" s="634"/>
      <c r="B21" s="637"/>
      <c r="C21" s="393">
        <v>453</v>
      </c>
      <c r="D21" s="393">
        <v>0</v>
      </c>
      <c r="E21" s="397" t="s">
        <v>328</v>
      </c>
      <c r="F21" s="395"/>
      <c r="G21" s="395"/>
      <c r="H21" s="396" t="e">
        <f t="shared" si="0"/>
        <v>#DIV/0!</v>
      </c>
    </row>
    <row r="22" spans="1:8" ht="15" customHeight="1">
      <c r="A22" s="387">
        <v>600</v>
      </c>
      <c r="B22" s="387"/>
      <c r="C22" s="388"/>
      <c r="D22" s="388"/>
      <c r="E22" s="400" t="s">
        <v>69</v>
      </c>
      <c r="F22" s="390">
        <f>F23+F49</f>
        <v>0</v>
      </c>
      <c r="G22" s="390">
        <f>G23+G49</f>
        <v>0</v>
      </c>
      <c r="H22" s="391" t="e">
        <f t="shared" si="0"/>
        <v>#DIV/0!</v>
      </c>
    </row>
    <row r="23" spans="1:8" ht="15" customHeight="1">
      <c r="A23" s="629"/>
      <c r="B23" s="380">
        <v>60014</v>
      </c>
      <c r="C23" s="393"/>
      <c r="D23" s="393"/>
      <c r="E23" s="117" t="s">
        <v>39</v>
      </c>
      <c r="F23" s="395">
        <f>SUM(F24:F48)</f>
        <v>0</v>
      </c>
      <c r="G23" s="395">
        <f>SUM(G24:G48)</f>
        <v>0</v>
      </c>
      <c r="H23" s="396" t="e">
        <f t="shared" si="0"/>
        <v>#DIV/0!</v>
      </c>
    </row>
    <row r="24" spans="1:8" ht="25.5" customHeight="1">
      <c r="A24" s="630"/>
      <c r="B24" s="629"/>
      <c r="C24" s="393">
        <v>231</v>
      </c>
      <c r="D24" s="393">
        <v>0</v>
      </c>
      <c r="E24" s="117" t="s">
        <v>329</v>
      </c>
      <c r="F24" s="395"/>
      <c r="G24" s="395"/>
      <c r="H24" s="396" t="e">
        <f t="shared" si="0"/>
        <v>#DIV/0!</v>
      </c>
    </row>
    <row r="25" spans="1:8">
      <c r="A25" s="630"/>
      <c r="B25" s="630"/>
      <c r="C25" s="393">
        <v>302</v>
      </c>
      <c r="D25" s="393">
        <v>0</v>
      </c>
      <c r="E25" s="401" t="s">
        <v>330</v>
      </c>
      <c r="F25" s="395"/>
      <c r="G25" s="395"/>
      <c r="H25" s="396" t="e">
        <f t="shared" si="0"/>
        <v>#DIV/0!</v>
      </c>
    </row>
    <row r="26" spans="1:8">
      <c r="A26" s="630"/>
      <c r="B26" s="630"/>
      <c r="C26" s="393">
        <v>401</v>
      </c>
      <c r="D26" s="393">
        <v>0</v>
      </c>
      <c r="E26" s="401" t="s">
        <v>331</v>
      </c>
      <c r="F26" s="395"/>
      <c r="G26" s="395"/>
      <c r="H26" s="396" t="e">
        <f t="shared" si="0"/>
        <v>#DIV/0!</v>
      </c>
    </row>
    <row r="27" spans="1:8">
      <c r="A27" s="630"/>
      <c r="B27" s="630"/>
      <c r="C27" s="393">
        <v>404</v>
      </c>
      <c r="D27" s="393">
        <v>0</v>
      </c>
      <c r="E27" s="401" t="s">
        <v>332</v>
      </c>
      <c r="F27" s="395"/>
      <c r="G27" s="395"/>
      <c r="H27" s="396" t="e">
        <f t="shared" si="0"/>
        <v>#DIV/0!</v>
      </c>
    </row>
    <row r="28" spans="1:8">
      <c r="A28" s="630"/>
      <c r="B28" s="630"/>
      <c r="C28" s="393">
        <v>411</v>
      </c>
      <c r="D28" s="393">
        <v>0</v>
      </c>
      <c r="E28" s="401" t="s">
        <v>333</v>
      </c>
      <c r="F28" s="395"/>
      <c r="G28" s="395"/>
      <c r="H28" s="396" t="e">
        <f t="shared" si="0"/>
        <v>#DIV/0!</v>
      </c>
    </row>
    <row r="29" spans="1:8">
      <c r="A29" s="630"/>
      <c r="B29" s="630"/>
      <c r="C29" s="393">
        <v>412</v>
      </c>
      <c r="D29" s="393">
        <v>0</v>
      </c>
      <c r="E29" s="401" t="s">
        <v>334</v>
      </c>
      <c r="F29" s="395"/>
      <c r="G29" s="395"/>
      <c r="H29" s="396" t="e">
        <f t="shared" si="0"/>
        <v>#DIV/0!</v>
      </c>
    </row>
    <row r="30" spans="1:8">
      <c r="A30" s="630"/>
      <c r="B30" s="630"/>
      <c r="C30" s="393">
        <v>417</v>
      </c>
      <c r="D30" s="393">
        <v>0</v>
      </c>
      <c r="E30" s="401" t="s">
        <v>335</v>
      </c>
      <c r="F30" s="395"/>
      <c r="G30" s="395"/>
      <c r="H30" s="396" t="e">
        <f t="shared" si="0"/>
        <v>#DIV/0!</v>
      </c>
    </row>
    <row r="31" spans="1:8">
      <c r="A31" s="630"/>
      <c r="B31" s="630"/>
      <c r="C31" s="393">
        <v>421</v>
      </c>
      <c r="D31" s="393">
        <v>0</v>
      </c>
      <c r="E31" s="401" t="s">
        <v>327</v>
      </c>
      <c r="F31" s="395"/>
      <c r="G31" s="395"/>
      <c r="H31" s="396" t="e">
        <f t="shared" si="0"/>
        <v>#DIV/0!</v>
      </c>
    </row>
    <row r="32" spans="1:8">
      <c r="A32" s="630"/>
      <c r="B32" s="630"/>
      <c r="C32" s="393">
        <v>426</v>
      </c>
      <c r="D32" s="393">
        <v>0</v>
      </c>
      <c r="E32" s="401" t="s">
        <v>336</v>
      </c>
      <c r="F32" s="395"/>
      <c r="G32" s="395"/>
      <c r="H32" s="396" t="e">
        <f t="shared" si="0"/>
        <v>#DIV/0!</v>
      </c>
    </row>
    <row r="33" spans="1:8">
      <c r="A33" s="630"/>
      <c r="B33" s="630"/>
      <c r="C33" s="393">
        <v>427</v>
      </c>
      <c r="D33" s="393">
        <v>0</v>
      </c>
      <c r="E33" s="401" t="s">
        <v>337</v>
      </c>
      <c r="F33" s="395"/>
      <c r="G33" s="395"/>
      <c r="H33" s="396" t="e">
        <f t="shared" si="0"/>
        <v>#DIV/0!</v>
      </c>
    </row>
    <row r="34" spans="1:8">
      <c r="A34" s="630"/>
      <c r="B34" s="630"/>
      <c r="C34" s="393">
        <v>428</v>
      </c>
      <c r="D34" s="393">
        <v>0</v>
      </c>
      <c r="E34" s="401" t="s">
        <v>338</v>
      </c>
      <c r="F34" s="395"/>
      <c r="G34" s="395"/>
      <c r="H34" s="396" t="e">
        <f t="shared" si="0"/>
        <v>#DIV/0!</v>
      </c>
    </row>
    <row r="35" spans="1:8">
      <c r="A35" s="630"/>
      <c r="B35" s="630"/>
      <c r="C35" s="393">
        <v>430</v>
      </c>
      <c r="D35" s="393">
        <v>0</v>
      </c>
      <c r="E35" s="401" t="s">
        <v>324</v>
      </c>
      <c r="F35" s="395"/>
      <c r="G35" s="395"/>
      <c r="H35" s="396" t="e">
        <f t="shared" si="0"/>
        <v>#DIV/0!</v>
      </c>
    </row>
    <row r="36" spans="1:8">
      <c r="A36" s="630"/>
      <c r="B36" s="630"/>
      <c r="C36" s="393">
        <v>435</v>
      </c>
      <c r="D36" s="393">
        <v>0</v>
      </c>
      <c r="E36" s="401" t="s">
        <v>339</v>
      </c>
      <c r="F36" s="395"/>
      <c r="G36" s="395"/>
      <c r="H36" s="396" t="e">
        <f t="shared" si="0"/>
        <v>#DIV/0!</v>
      </c>
    </row>
    <row r="37" spans="1:8" ht="28.5" customHeight="1">
      <c r="A37" s="630"/>
      <c r="B37" s="630"/>
      <c r="C37" s="393">
        <v>436</v>
      </c>
      <c r="D37" s="393">
        <v>0</v>
      </c>
      <c r="E37" s="402" t="s">
        <v>340</v>
      </c>
      <c r="F37" s="395"/>
      <c r="G37" s="395"/>
      <c r="H37" s="396" t="e">
        <f t="shared" si="0"/>
        <v>#DIV/0!</v>
      </c>
    </row>
    <row r="38" spans="1:8" ht="27" customHeight="1">
      <c r="A38" s="630"/>
      <c r="B38" s="630"/>
      <c r="C38" s="393">
        <v>437</v>
      </c>
      <c r="D38" s="393">
        <v>0</v>
      </c>
      <c r="E38" s="402" t="s">
        <v>341</v>
      </c>
      <c r="F38" s="395"/>
      <c r="G38" s="395"/>
      <c r="H38" s="396" t="e">
        <f t="shared" si="0"/>
        <v>#DIV/0!</v>
      </c>
    </row>
    <row r="39" spans="1:8">
      <c r="A39" s="630"/>
      <c r="B39" s="630"/>
      <c r="C39" s="393">
        <v>441</v>
      </c>
      <c r="D39" s="393">
        <v>0</v>
      </c>
      <c r="E39" s="401" t="s">
        <v>342</v>
      </c>
      <c r="F39" s="395"/>
      <c r="G39" s="395"/>
      <c r="H39" s="396" t="e">
        <f t="shared" si="0"/>
        <v>#DIV/0!</v>
      </c>
    </row>
    <row r="40" spans="1:8">
      <c r="A40" s="630"/>
      <c r="B40" s="630"/>
      <c r="C40" s="393">
        <v>444</v>
      </c>
      <c r="D40" s="393">
        <v>0</v>
      </c>
      <c r="E40" s="401" t="s">
        <v>343</v>
      </c>
      <c r="F40" s="395"/>
      <c r="G40" s="395"/>
      <c r="H40" s="396" t="e">
        <f t="shared" si="0"/>
        <v>#DIV/0!</v>
      </c>
    </row>
    <row r="41" spans="1:8">
      <c r="A41" s="630"/>
      <c r="B41" s="630"/>
      <c r="C41" s="393">
        <v>448</v>
      </c>
      <c r="D41" s="393">
        <v>0</v>
      </c>
      <c r="E41" s="401" t="s">
        <v>344</v>
      </c>
      <c r="F41" s="395"/>
      <c r="G41" s="395"/>
      <c r="H41" s="396" t="e">
        <f t="shared" si="0"/>
        <v>#DIV/0!</v>
      </c>
    </row>
    <row r="42" spans="1:8" ht="19.5" customHeight="1">
      <c r="A42" s="630"/>
      <c r="B42" s="630"/>
      <c r="C42" s="393">
        <v>451</v>
      </c>
      <c r="D42" s="393">
        <v>0</v>
      </c>
      <c r="E42" s="402" t="s">
        <v>345</v>
      </c>
      <c r="F42" s="395"/>
      <c r="G42" s="395"/>
      <c r="H42" s="396" t="e">
        <f t="shared" si="0"/>
        <v>#DIV/0!</v>
      </c>
    </row>
    <row r="43" spans="1:8">
      <c r="A43" s="630"/>
      <c r="B43" s="630"/>
      <c r="C43" s="393">
        <v>452</v>
      </c>
      <c r="D43" s="393">
        <v>0</v>
      </c>
      <c r="E43" s="401" t="s">
        <v>346</v>
      </c>
      <c r="F43" s="395"/>
      <c r="G43" s="395"/>
      <c r="H43" s="396" t="e">
        <f t="shared" si="0"/>
        <v>#DIV/0!</v>
      </c>
    </row>
    <row r="44" spans="1:8">
      <c r="A44" s="630"/>
      <c r="B44" s="630"/>
      <c r="C44" s="393">
        <v>461</v>
      </c>
      <c r="D44" s="393">
        <v>0</v>
      </c>
      <c r="E44" s="401" t="s">
        <v>347</v>
      </c>
      <c r="F44" s="395"/>
      <c r="G44" s="395"/>
      <c r="H44" s="396" t="e">
        <f t="shared" si="0"/>
        <v>#DIV/0!</v>
      </c>
    </row>
    <row r="45" spans="1:8" ht="27.75" customHeight="1">
      <c r="A45" s="630"/>
      <c r="B45" s="630"/>
      <c r="C45" s="393">
        <v>470</v>
      </c>
      <c r="D45" s="393">
        <v>0</v>
      </c>
      <c r="E45" s="402" t="s">
        <v>348</v>
      </c>
      <c r="F45" s="395"/>
      <c r="G45" s="395"/>
      <c r="H45" s="396" t="e">
        <f t="shared" si="0"/>
        <v>#DIV/0!</v>
      </c>
    </row>
    <row r="46" spans="1:8">
      <c r="A46" s="630"/>
      <c r="B46" s="630"/>
      <c r="C46" s="393">
        <v>605</v>
      </c>
      <c r="D46" s="393">
        <v>0</v>
      </c>
      <c r="E46" s="401" t="s">
        <v>349</v>
      </c>
      <c r="F46" s="395"/>
      <c r="G46" s="395"/>
      <c r="H46" s="396" t="e">
        <f t="shared" si="0"/>
        <v>#DIV/0!</v>
      </c>
    </row>
    <row r="47" spans="1:8" ht="26.25" customHeight="1">
      <c r="A47" s="630"/>
      <c r="B47" s="630"/>
      <c r="C47" s="393">
        <v>606</v>
      </c>
      <c r="D47" s="393">
        <v>0</v>
      </c>
      <c r="E47" s="402" t="s">
        <v>350</v>
      </c>
      <c r="F47" s="395"/>
      <c r="G47" s="395"/>
      <c r="H47" s="396" t="e">
        <f t="shared" si="0"/>
        <v>#DIV/0!</v>
      </c>
    </row>
    <row r="48" spans="1:8" ht="33.75" customHeight="1">
      <c r="A48" s="630"/>
      <c r="B48" s="631"/>
      <c r="C48" s="393">
        <v>661</v>
      </c>
      <c r="D48" s="393">
        <v>0</v>
      </c>
      <c r="E48" s="402" t="s">
        <v>351</v>
      </c>
      <c r="F48" s="395"/>
      <c r="G48" s="395"/>
      <c r="H48" s="396" t="e">
        <f t="shared" si="0"/>
        <v>#DIV/0!</v>
      </c>
    </row>
    <row r="49" spans="1:8">
      <c r="A49" s="630"/>
      <c r="B49" s="380">
        <v>60016</v>
      </c>
      <c r="C49" s="393"/>
      <c r="D49" s="393"/>
      <c r="E49" s="403" t="s">
        <v>352</v>
      </c>
      <c r="F49" s="395">
        <f>F50+F51</f>
        <v>0</v>
      </c>
      <c r="G49" s="395">
        <f>G50+G51</f>
        <v>0</v>
      </c>
      <c r="H49" s="396" t="e">
        <f t="shared" si="0"/>
        <v>#DIV/0!</v>
      </c>
    </row>
    <row r="50" spans="1:8" ht="34.5" customHeight="1">
      <c r="A50" s="630"/>
      <c r="B50" s="629"/>
      <c r="C50" s="393">
        <v>630</v>
      </c>
      <c r="D50" s="393">
        <v>0</v>
      </c>
      <c r="E50" s="404" t="s">
        <v>353</v>
      </c>
      <c r="F50" s="395"/>
      <c r="G50" s="395"/>
      <c r="H50" s="396" t="e">
        <f t="shared" si="0"/>
        <v>#DIV/0!</v>
      </c>
    </row>
    <row r="51" spans="1:8" ht="42.75" customHeight="1">
      <c r="A51" s="631"/>
      <c r="B51" s="631"/>
      <c r="C51" s="393">
        <v>661</v>
      </c>
      <c r="D51" s="393">
        <v>7</v>
      </c>
      <c r="E51" s="402" t="s">
        <v>351</v>
      </c>
      <c r="F51" s="395"/>
      <c r="G51" s="395"/>
      <c r="H51" s="396" t="e">
        <f t="shared" si="0"/>
        <v>#DIV/0!</v>
      </c>
    </row>
    <row r="52" spans="1:8">
      <c r="A52" s="387">
        <v>700</v>
      </c>
      <c r="B52" s="387"/>
      <c r="C52" s="388"/>
      <c r="D52" s="388"/>
      <c r="E52" s="405" t="s">
        <v>29</v>
      </c>
      <c r="F52" s="390">
        <f>F53</f>
        <v>0</v>
      </c>
      <c r="G52" s="390">
        <f>G53</f>
        <v>0</v>
      </c>
      <c r="H52" s="391" t="e">
        <f t="shared" si="0"/>
        <v>#DIV/0!</v>
      </c>
    </row>
    <row r="53" spans="1:8">
      <c r="A53" s="627"/>
      <c r="B53" s="380">
        <v>70005</v>
      </c>
      <c r="C53" s="393"/>
      <c r="D53" s="393"/>
      <c r="E53" s="403" t="s">
        <v>70</v>
      </c>
      <c r="F53" s="395">
        <f>SUM(F54:F64)</f>
        <v>0</v>
      </c>
      <c r="G53" s="395">
        <f>SUM(G54:G64)</f>
        <v>0</v>
      </c>
      <c r="H53" s="396" t="e">
        <f t="shared" si="0"/>
        <v>#DIV/0!</v>
      </c>
    </row>
    <row r="54" spans="1:8">
      <c r="A54" s="627"/>
      <c r="B54" s="627"/>
      <c r="C54" s="393">
        <v>421</v>
      </c>
      <c r="D54" s="393">
        <v>0</v>
      </c>
      <c r="E54" s="401" t="s">
        <v>327</v>
      </c>
      <c r="F54" s="395"/>
      <c r="G54" s="395"/>
      <c r="H54" s="396" t="e">
        <f t="shared" si="0"/>
        <v>#DIV/0!</v>
      </c>
    </row>
    <row r="55" spans="1:8">
      <c r="A55" s="627"/>
      <c r="B55" s="627"/>
      <c r="C55" s="393">
        <v>426</v>
      </c>
      <c r="D55" s="393">
        <v>0</v>
      </c>
      <c r="E55" s="401" t="s">
        <v>336</v>
      </c>
      <c r="F55" s="395"/>
      <c r="G55" s="395"/>
      <c r="H55" s="396" t="e">
        <f t="shared" si="0"/>
        <v>#DIV/0!</v>
      </c>
    </row>
    <row r="56" spans="1:8">
      <c r="A56" s="627"/>
      <c r="B56" s="627"/>
      <c r="C56" s="393">
        <v>427</v>
      </c>
      <c r="D56" s="393">
        <v>0</v>
      </c>
      <c r="E56" s="401" t="s">
        <v>337</v>
      </c>
      <c r="F56" s="395"/>
      <c r="G56" s="395"/>
      <c r="H56" s="396" t="e">
        <f t="shared" si="0"/>
        <v>#DIV/0!</v>
      </c>
    </row>
    <row r="57" spans="1:8">
      <c r="A57" s="627"/>
      <c r="B57" s="627"/>
      <c r="C57" s="393">
        <v>430</v>
      </c>
      <c r="D57" s="393">
        <v>0</v>
      </c>
      <c r="E57" s="401" t="s">
        <v>324</v>
      </c>
      <c r="F57" s="395"/>
      <c r="G57" s="395"/>
      <c r="H57" s="396" t="e">
        <f t="shared" si="0"/>
        <v>#DIV/0!</v>
      </c>
    </row>
    <row r="58" spans="1:8" ht="26.25" customHeight="1">
      <c r="A58" s="627"/>
      <c r="B58" s="627"/>
      <c r="C58" s="393">
        <v>440</v>
      </c>
      <c r="D58" s="393">
        <v>0</v>
      </c>
      <c r="E58" s="402" t="s">
        <v>354</v>
      </c>
      <c r="F58" s="395"/>
      <c r="G58" s="395"/>
      <c r="H58" s="396" t="e">
        <f t="shared" si="0"/>
        <v>#DIV/0!</v>
      </c>
    </row>
    <row r="59" spans="1:8" ht="17.25" customHeight="1">
      <c r="A59" s="627"/>
      <c r="B59" s="627"/>
      <c r="C59" s="393">
        <v>448</v>
      </c>
      <c r="D59" s="393">
        <v>0</v>
      </c>
      <c r="E59" s="402" t="s">
        <v>344</v>
      </c>
      <c r="F59" s="395"/>
      <c r="G59" s="395"/>
      <c r="H59" s="396" t="e">
        <f t="shared" si="0"/>
        <v>#DIV/0!</v>
      </c>
    </row>
    <row r="60" spans="1:8">
      <c r="A60" s="627"/>
      <c r="B60" s="627"/>
      <c r="C60" s="393">
        <v>451</v>
      </c>
      <c r="D60" s="393">
        <v>0</v>
      </c>
      <c r="E60" s="381" t="s">
        <v>345</v>
      </c>
      <c r="F60" s="395"/>
      <c r="G60" s="395"/>
      <c r="H60" s="396" t="e">
        <f t="shared" si="0"/>
        <v>#DIV/0!</v>
      </c>
    </row>
    <row r="61" spans="1:8">
      <c r="A61" s="627"/>
      <c r="B61" s="627"/>
      <c r="C61" s="393">
        <v>452</v>
      </c>
      <c r="D61" s="393">
        <v>0</v>
      </c>
      <c r="E61" s="401" t="s">
        <v>346</v>
      </c>
      <c r="F61" s="395"/>
      <c r="G61" s="395"/>
      <c r="H61" s="396" t="e">
        <f t="shared" si="0"/>
        <v>#DIV/0!</v>
      </c>
    </row>
    <row r="62" spans="1:8">
      <c r="A62" s="627"/>
      <c r="B62" s="627"/>
      <c r="C62" s="393">
        <v>453</v>
      </c>
      <c r="D62" s="393">
        <v>0</v>
      </c>
      <c r="E62" s="401" t="s">
        <v>328</v>
      </c>
      <c r="F62" s="395"/>
      <c r="G62" s="395"/>
      <c r="H62" s="396" t="e">
        <f t="shared" si="0"/>
        <v>#DIV/0!</v>
      </c>
    </row>
    <row r="63" spans="1:8" ht="15" customHeight="1">
      <c r="A63" s="627"/>
      <c r="B63" s="627"/>
      <c r="C63" s="393">
        <v>458</v>
      </c>
      <c r="D63" s="393">
        <v>0</v>
      </c>
      <c r="E63" s="406" t="s">
        <v>59</v>
      </c>
      <c r="F63" s="395"/>
      <c r="G63" s="395"/>
      <c r="H63" s="396" t="e">
        <f t="shared" si="0"/>
        <v>#DIV/0!</v>
      </c>
    </row>
    <row r="64" spans="1:8">
      <c r="A64" s="627"/>
      <c r="B64" s="627"/>
      <c r="C64" s="393">
        <v>461</v>
      </c>
      <c r="D64" s="393">
        <v>0</v>
      </c>
      <c r="E64" s="401" t="s">
        <v>347</v>
      </c>
      <c r="F64" s="395"/>
      <c r="G64" s="395"/>
      <c r="H64" s="396" t="e">
        <f t="shared" si="0"/>
        <v>#DIV/0!</v>
      </c>
    </row>
    <row r="65" spans="1:8">
      <c r="A65" s="387">
        <v>710</v>
      </c>
      <c r="B65" s="387"/>
      <c r="C65" s="388"/>
      <c r="D65" s="388"/>
      <c r="E65" s="405" t="s">
        <v>103</v>
      </c>
      <c r="F65" s="390">
        <f>F66+F68+F71</f>
        <v>0</v>
      </c>
      <c r="G65" s="390">
        <f>G66+G68+G71</f>
        <v>0</v>
      </c>
      <c r="H65" s="391" t="e">
        <f t="shared" si="0"/>
        <v>#DIV/0!</v>
      </c>
    </row>
    <row r="66" spans="1:8">
      <c r="A66" s="627"/>
      <c r="B66" s="380">
        <v>71013</v>
      </c>
      <c r="C66" s="393"/>
      <c r="D66" s="393"/>
      <c r="E66" s="403" t="s">
        <v>104</v>
      </c>
      <c r="F66" s="395">
        <f>F67</f>
        <v>0</v>
      </c>
      <c r="G66" s="395">
        <f>G67</f>
        <v>0</v>
      </c>
      <c r="H66" s="396" t="e">
        <f t="shared" si="0"/>
        <v>#DIV/0!</v>
      </c>
    </row>
    <row r="67" spans="1:8">
      <c r="A67" s="627"/>
      <c r="B67" s="380"/>
      <c r="C67" s="393">
        <v>430</v>
      </c>
      <c r="D67" s="393">
        <v>0</v>
      </c>
      <c r="E67" s="401" t="s">
        <v>324</v>
      </c>
      <c r="F67" s="395"/>
      <c r="G67" s="395"/>
      <c r="H67" s="396" t="e">
        <f t="shared" si="0"/>
        <v>#DIV/0!</v>
      </c>
    </row>
    <row r="68" spans="1:8" ht="15.75" customHeight="1">
      <c r="A68" s="627"/>
      <c r="B68" s="380">
        <v>71014</v>
      </c>
      <c r="C68" s="393"/>
      <c r="D68" s="393"/>
      <c r="E68" s="183" t="s">
        <v>72</v>
      </c>
      <c r="F68" s="395">
        <f>F69+F70</f>
        <v>0</v>
      </c>
      <c r="G68" s="395">
        <f>G69+G70</f>
        <v>0</v>
      </c>
      <c r="H68" s="396" t="e">
        <f t="shared" si="0"/>
        <v>#DIV/0!</v>
      </c>
    </row>
    <row r="69" spans="1:8">
      <c r="A69" s="627"/>
      <c r="B69" s="629"/>
      <c r="C69" s="393">
        <v>430</v>
      </c>
      <c r="D69" s="393">
        <v>0</v>
      </c>
      <c r="E69" s="401" t="s">
        <v>324</v>
      </c>
      <c r="F69" s="395"/>
      <c r="G69" s="395"/>
      <c r="H69" s="396" t="e">
        <f t="shared" si="0"/>
        <v>#DIV/0!</v>
      </c>
    </row>
    <row r="70" spans="1:8">
      <c r="A70" s="627"/>
      <c r="B70" s="631"/>
      <c r="C70" s="393">
        <v>461</v>
      </c>
      <c r="D70" s="393">
        <v>0</v>
      </c>
      <c r="E70" s="401" t="s">
        <v>347</v>
      </c>
      <c r="F70" s="395"/>
      <c r="G70" s="395"/>
      <c r="H70" s="396" t="e">
        <f t="shared" si="0"/>
        <v>#DIV/0!</v>
      </c>
    </row>
    <row r="71" spans="1:8" ht="14.25" customHeight="1">
      <c r="A71" s="627"/>
      <c r="B71" s="380">
        <v>71015</v>
      </c>
      <c r="C71" s="393"/>
      <c r="D71" s="393"/>
      <c r="E71" s="183" t="s">
        <v>73</v>
      </c>
      <c r="F71" s="395">
        <f>SUM(F72:F87)</f>
        <v>0</v>
      </c>
      <c r="G71" s="395">
        <f>SUM(G72:G87)</f>
        <v>0</v>
      </c>
      <c r="H71" s="396" t="e">
        <f t="shared" si="0"/>
        <v>#DIV/0!</v>
      </c>
    </row>
    <row r="72" spans="1:8">
      <c r="A72" s="627"/>
      <c r="B72" s="627"/>
      <c r="C72" s="393">
        <v>401</v>
      </c>
      <c r="D72" s="393">
        <v>0</v>
      </c>
      <c r="E72" s="401" t="s">
        <v>331</v>
      </c>
      <c r="F72" s="395"/>
      <c r="G72" s="395"/>
      <c r="H72" s="396" t="e">
        <f t="shared" si="0"/>
        <v>#DIV/0!</v>
      </c>
    </row>
    <row r="73" spans="1:8" ht="15.75" customHeight="1">
      <c r="A73" s="627"/>
      <c r="B73" s="627"/>
      <c r="C73" s="393">
        <v>402</v>
      </c>
      <c r="D73" s="393">
        <v>0</v>
      </c>
      <c r="E73" s="402" t="s">
        <v>355</v>
      </c>
      <c r="F73" s="395"/>
      <c r="G73" s="395"/>
      <c r="H73" s="396" t="e">
        <f t="shared" si="0"/>
        <v>#DIV/0!</v>
      </c>
    </row>
    <row r="74" spans="1:8">
      <c r="A74" s="627"/>
      <c r="B74" s="627"/>
      <c r="C74" s="393">
        <v>404</v>
      </c>
      <c r="D74" s="393">
        <v>0</v>
      </c>
      <c r="E74" s="401" t="s">
        <v>332</v>
      </c>
      <c r="F74" s="395"/>
      <c r="G74" s="395"/>
      <c r="H74" s="396" t="e">
        <f t="shared" si="0"/>
        <v>#DIV/0!</v>
      </c>
    </row>
    <row r="75" spans="1:8">
      <c r="A75" s="627"/>
      <c r="B75" s="627"/>
      <c r="C75" s="393">
        <v>411</v>
      </c>
      <c r="D75" s="393">
        <v>0</v>
      </c>
      <c r="E75" s="401" t="s">
        <v>333</v>
      </c>
      <c r="F75" s="395"/>
      <c r="G75" s="395"/>
      <c r="H75" s="396" t="e">
        <f t="shared" ref="H75:H138" si="1">G75/F75*100</f>
        <v>#DIV/0!</v>
      </c>
    </row>
    <row r="76" spans="1:8">
      <c r="A76" s="627"/>
      <c r="B76" s="627"/>
      <c r="C76" s="393">
        <v>412</v>
      </c>
      <c r="D76" s="393">
        <v>0</v>
      </c>
      <c r="E76" s="401" t="s">
        <v>334</v>
      </c>
      <c r="F76" s="395"/>
      <c r="G76" s="395"/>
      <c r="H76" s="396" t="e">
        <f t="shared" si="1"/>
        <v>#DIV/0!</v>
      </c>
    </row>
    <row r="77" spans="1:8">
      <c r="A77" s="627"/>
      <c r="B77" s="627"/>
      <c r="C77" s="393">
        <v>421</v>
      </c>
      <c r="D77" s="393">
        <v>0</v>
      </c>
      <c r="E77" s="401" t="s">
        <v>327</v>
      </c>
      <c r="F77" s="395"/>
      <c r="G77" s="395"/>
      <c r="H77" s="396" t="e">
        <f t="shared" si="1"/>
        <v>#DIV/0!</v>
      </c>
    </row>
    <row r="78" spans="1:8">
      <c r="A78" s="627"/>
      <c r="B78" s="627"/>
      <c r="C78" s="393">
        <v>427</v>
      </c>
      <c r="D78" s="393">
        <v>0</v>
      </c>
      <c r="E78" s="401" t="s">
        <v>337</v>
      </c>
      <c r="F78" s="395"/>
      <c r="G78" s="395"/>
      <c r="H78" s="396" t="e">
        <f t="shared" si="1"/>
        <v>#DIV/0!</v>
      </c>
    </row>
    <row r="79" spans="1:8">
      <c r="A79" s="627"/>
      <c r="B79" s="627"/>
      <c r="C79" s="393">
        <v>428</v>
      </c>
      <c r="D79" s="393">
        <v>0</v>
      </c>
      <c r="E79" s="401" t="s">
        <v>338</v>
      </c>
      <c r="F79" s="395"/>
      <c r="G79" s="395"/>
      <c r="H79" s="396" t="e">
        <f t="shared" si="1"/>
        <v>#DIV/0!</v>
      </c>
    </row>
    <row r="80" spans="1:8">
      <c r="A80" s="627"/>
      <c r="B80" s="627"/>
      <c r="C80" s="393">
        <v>430</v>
      </c>
      <c r="D80" s="393">
        <v>0</v>
      </c>
      <c r="E80" s="401" t="s">
        <v>324</v>
      </c>
      <c r="F80" s="395"/>
      <c r="G80" s="395"/>
      <c r="H80" s="396" t="e">
        <f t="shared" si="1"/>
        <v>#DIV/0!</v>
      </c>
    </row>
    <row r="81" spans="1:8">
      <c r="A81" s="627"/>
      <c r="B81" s="627"/>
      <c r="C81" s="393">
        <v>435</v>
      </c>
      <c r="D81" s="393">
        <v>0</v>
      </c>
      <c r="E81" s="401" t="s">
        <v>339</v>
      </c>
      <c r="F81" s="395"/>
      <c r="G81" s="395"/>
      <c r="H81" s="396" t="e">
        <f t="shared" si="1"/>
        <v>#DIV/0!</v>
      </c>
    </row>
    <row r="82" spans="1:8" ht="23.25" customHeight="1">
      <c r="A82" s="627"/>
      <c r="B82" s="627"/>
      <c r="C82" s="393">
        <v>437</v>
      </c>
      <c r="D82" s="393">
        <v>0</v>
      </c>
      <c r="E82" s="402" t="s">
        <v>341</v>
      </c>
      <c r="F82" s="395"/>
      <c r="G82" s="395"/>
      <c r="H82" s="396" t="e">
        <f t="shared" si="1"/>
        <v>#DIV/0!</v>
      </c>
    </row>
    <row r="83" spans="1:8" ht="30.75" customHeight="1">
      <c r="A83" s="627"/>
      <c r="B83" s="627"/>
      <c r="C83" s="393">
        <v>440</v>
      </c>
      <c r="D83" s="393">
        <v>0</v>
      </c>
      <c r="E83" s="402" t="s">
        <v>354</v>
      </c>
      <c r="F83" s="395"/>
      <c r="G83" s="395"/>
      <c r="H83" s="396" t="e">
        <f t="shared" si="1"/>
        <v>#DIV/0!</v>
      </c>
    </row>
    <row r="84" spans="1:8">
      <c r="A84" s="627"/>
      <c r="B84" s="627"/>
      <c r="C84" s="393">
        <v>441</v>
      </c>
      <c r="D84" s="393">
        <v>0</v>
      </c>
      <c r="E84" s="401" t="s">
        <v>342</v>
      </c>
      <c r="F84" s="395"/>
      <c r="G84" s="395"/>
      <c r="H84" s="396" t="e">
        <f t="shared" si="1"/>
        <v>#DIV/0!</v>
      </c>
    </row>
    <row r="85" spans="1:8">
      <c r="A85" s="627"/>
      <c r="B85" s="627"/>
      <c r="C85" s="393">
        <v>443</v>
      </c>
      <c r="D85" s="393">
        <v>0</v>
      </c>
      <c r="E85" s="401" t="s">
        <v>356</v>
      </c>
      <c r="F85" s="395"/>
      <c r="G85" s="395"/>
      <c r="H85" s="396" t="e">
        <f t="shared" si="1"/>
        <v>#DIV/0!</v>
      </c>
    </row>
    <row r="86" spans="1:8">
      <c r="A86" s="627"/>
      <c r="B86" s="627"/>
      <c r="C86" s="393">
        <v>444</v>
      </c>
      <c r="D86" s="393">
        <v>0</v>
      </c>
      <c r="E86" s="401" t="s">
        <v>343</v>
      </c>
      <c r="F86" s="395"/>
      <c r="G86" s="395"/>
      <c r="H86" s="396" t="e">
        <f t="shared" si="1"/>
        <v>#DIV/0!</v>
      </c>
    </row>
    <row r="87" spans="1:8" ht="16.5" customHeight="1">
      <c r="A87" s="627"/>
      <c r="B87" s="627"/>
      <c r="C87" s="393">
        <v>448</v>
      </c>
      <c r="D87" s="393">
        <v>0</v>
      </c>
      <c r="E87" s="402" t="s">
        <v>344</v>
      </c>
      <c r="F87" s="395"/>
      <c r="G87" s="395"/>
      <c r="H87" s="396" t="e">
        <f t="shared" si="1"/>
        <v>#DIV/0!</v>
      </c>
    </row>
    <row r="88" spans="1:8" ht="12.75" customHeight="1">
      <c r="A88" s="387">
        <v>750</v>
      </c>
      <c r="B88" s="387"/>
      <c r="C88" s="388"/>
      <c r="D88" s="388"/>
      <c r="E88" s="407" t="s">
        <v>31</v>
      </c>
      <c r="F88" s="390">
        <f>F89+F93+F97+F126+F133+F152</f>
        <v>0</v>
      </c>
      <c r="G88" s="390">
        <f>G89+G93+G97+G126+G133+G152</f>
        <v>0</v>
      </c>
      <c r="H88" s="391" t="e">
        <f t="shared" si="1"/>
        <v>#DIV/0!</v>
      </c>
    </row>
    <row r="89" spans="1:8">
      <c r="A89" s="629"/>
      <c r="B89" s="380">
        <v>75011</v>
      </c>
      <c r="C89" s="393"/>
      <c r="D89" s="393"/>
      <c r="E89" s="408" t="s">
        <v>75</v>
      </c>
      <c r="F89" s="395">
        <f>SUM(F90:F92)</f>
        <v>0</v>
      </c>
      <c r="G89" s="395">
        <f>SUM(G90:G92)</f>
        <v>0</v>
      </c>
      <c r="H89" s="396" t="e">
        <f t="shared" si="1"/>
        <v>#DIV/0!</v>
      </c>
    </row>
    <row r="90" spans="1:8">
      <c r="A90" s="630"/>
      <c r="B90" s="627"/>
      <c r="C90" s="393">
        <v>401</v>
      </c>
      <c r="D90" s="393">
        <v>0</v>
      </c>
      <c r="E90" s="401" t="s">
        <v>331</v>
      </c>
      <c r="F90" s="395"/>
      <c r="G90" s="395"/>
      <c r="H90" s="396" t="e">
        <f t="shared" si="1"/>
        <v>#DIV/0!</v>
      </c>
    </row>
    <row r="91" spans="1:8">
      <c r="A91" s="630"/>
      <c r="B91" s="627"/>
      <c r="C91" s="393">
        <v>411</v>
      </c>
      <c r="D91" s="393">
        <v>0</v>
      </c>
      <c r="E91" s="401" t="s">
        <v>333</v>
      </c>
      <c r="F91" s="395"/>
      <c r="G91" s="395"/>
      <c r="H91" s="396" t="e">
        <f t="shared" si="1"/>
        <v>#DIV/0!</v>
      </c>
    </row>
    <row r="92" spans="1:8">
      <c r="A92" s="630"/>
      <c r="B92" s="627"/>
      <c r="C92" s="393">
        <v>412</v>
      </c>
      <c r="D92" s="393">
        <v>0</v>
      </c>
      <c r="E92" s="401" t="s">
        <v>334</v>
      </c>
      <c r="F92" s="395"/>
      <c r="G92" s="395"/>
      <c r="H92" s="396" t="e">
        <f t="shared" si="1"/>
        <v>#DIV/0!</v>
      </c>
    </row>
    <row r="93" spans="1:8">
      <c r="A93" s="630"/>
      <c r="B93" s="380">
        <v>75019</v>
      </c>
      <c r="C93" s="393"/>
      <c r="D93" s="393"/>
      <c r="E93" s="381" t="s">
        <v>105</v>
      </c>
      <c r="F93" s="395">
        <f>SUM(F94:F96)</f>
        <v>0</v>
      </c>
      <c r="G93" s="395">
        <f>SUM(G94:G96)</f>
        <v>0</v>
      </c>
      <c r="H93" s="396" t="e">
        <f t="shared" si="1"/>
        <v>#DIV/0!</v>
      </c>
    </row>
    <row r="94" spans="1:8">
      <c r="A94" s="630"/>
      <c r="B94" s="627"/>
      <c r="C94" s="393">
        <v>303</v>
      </c>
      <c r="D94" s="393">
        <v>0</v>
      </c>
      <c r="E94" s="401" t="s">
        <v>326</v>
      </c>
      <c r="F94" s="395"/>
      <c r="G94" s="395"/>
      <c r="H94" s="396" t="e">
        <f t="shared" si="1"/>
        <v>#DIV/0!</v>
      </c>
    </row>
    <row r="95" spans="1:8">
      <c r="A95" s="630"/>
      <c r="B95" s="627"/>
      <c r="C95" s="393">
        <v>421</v>
      </c>
      <c r="D95" s="393">
        <v>0</v>
      </c>
      <c r="E95" s="401" t="s">
        <v>327</v>
      </c>
      <c r="F95" s="395"/>
      <c r="G95" s="395"/>
      <c r="H95" s="396" t="e">
        <f t="shared" si="1"/>
        <v>#DIV/0!</v>
      </c>
    </row>
    <row r="96" spans="1:8">
      <c r="A96" s="630"/>
      <c r="B96" s="627"/>
      <c r="C96" s="393">
        <v>430</v>
      </c>
      <c r="D96" s="393">
        <v>0</v>
      </c>
      <c r="E96" s="401" t="s">
        <v>324</v>
      </c>
      <c r="F96" s="395"/>
      <c r="G96" s="395"/>
      <c r="H96" s="396" t="e">
        <f t="shared" si="1"/>
        <v>#DIV/0!</v>
      </c>
    </row>
    <row r="97" spans="1:8">
      <c r="A97" s="630"/>
      <c r="B97" s="380">
        <v>75020</v>
      </c>
      <c r="C97" s="393"/>
      <c r="D97" s="393"/>
      <c r="E97" s="381" t="s">
        <v>76</v>
      </c>
      <c r="F97" s="395">
        <f>SUM(F98:F125)</f>
        <v>0</v>
      </c>
      <c r="G97" s="395">
        <f>SUM(G98:G125)</f>
        <v>0</v>
      </c>
      <c r="H97" s="396" t="e">
        <f t="shared" si="1"/>
        <v>#DIV/0!</v>
      </c>
    </row>
    <row r="98" spans="1:8">
      <c r="A98" s="630"/>
      <c r="B98" s="627"/>
      <c r="C98" s="393">
        <v>302</v>
      </c>
      <c r="D98" s="393">
        <v>0</v>
      </c>
      <c r="E98" s="401" t="s">
        <v>330</v>
      </c>
      <c r="F98" s="395"/>
      <c r="G98" s="395"/>
      <c r="H98" s="396" t="e">
        <f t="shared" si="1"/>
        <v>#DIV/0!</v>
      </c>
    </row>
    <row r="99" spans="1:8">
      <c r="A99" s="630"/>
      <c r="B99" s="627"/>
      <c r="C99" s="393">
        <v>401</v>
      </c>
      <c r="D99" s="393">
        <v>0</v>
      </c>
      <c r="E99" s="401" t="s">
        <v>331</v>
      </c>
      <c r="F99" s="395"/>
      <c r="G99" s="395"/>
      <c r="H99" s="396" t="e">
        <f t="shared" si="1"/>
        <v>#DIV/0!</v>
      </c>
    </row>
    <row r="100" spans="1:8">
      <c r="A100" s="630"/>
      <c r="B100" s="627"/>
      <c r="C100" s="393">
        <v>404</v>
      </c>
      <c r="D100" s="393">
        <v>0</v>
      </c>
      <c r="E100" s="401" t="s">
        <v>332</v>
      </c>
      <c r="F100" s="395"/>
      <c r="G100" s="395"/>
      <c r="H100" s="396" t="e">
        <f t="shared" si="1"/>
        <v>#DIV/0!</v>
      </c>
    </row>
    <row r="101" spans="1:8">
      <c r="A101" s="630"/>
      <c r="B101" s="627"/>
      <c r="C101" s="393">
        <v>411</v>
      </c>
      <c r="D101" s="393">
        <v>0</v>
      </c>
      <c r="E101" s="401" t="s">
        <v>333</v>
      </c>
      <c r="F101" s="395"/>
      <c r="G101" s="395"/>
      <c r="H101" s="396" t="e">
        <f t="shared" si="1"/>
        <v>#DIV/0!</v>
      </c>
    </row>
    <row r="102" spans="1:8">
      <c r="A102" s="630"/>
      <c r="B102" s="627"/>
      <c r="C102" s="393">
        <v>412</v>
      </c>
      <c r="D102" s="393">
        <v>0</v>
      </c>
      <c r="E102" s="401" t="s">
        <v>334</v>
      </c>
      <c r="F102" s="395"/>
      <c r="G102" s="395"/>
      <c r="H102" s="396" t="e">
        <f t="shared" si="1"/>
        <v>#DIV/0!</v>
      </c>
    </row>
    <row r="103" spans="1:8" ht="21.75" customHeight="1">
      <c r="A103" s="630"/>
      <c r="B103" s="627"/>
      <c r="C103" s="393">
        <v>414</v>
      </c>
      <c r="D103" s="393">
        <v>0</v>
      </c>
      <c r="E103" s="404" t="s">
        <v>357</v>
      </c>
      <c r="F103" s="395"/>
      <c r="G103" s="395"/>
      <c r="H103" s="396" t="e">
        <f t="shared" si="1"/>
        <v>#DIV/0!</v>
      </c>
    </row>
    <row r="104" spans="1:8">
      <c r="A104" s="630"/>
      <c r="B104" s="627"/>
      <c r="C104" s="393">
        <v>417</v>
      </c>
      <c r="D104" s="393">
        <v>0</v>
      </c>
      <c r="E104" s="401" t="s">
        <v>335</v>
      </c>
      <c r="F104" s="395"/>
      <c r="G104" s="395"/>
      <c r="H104" s="396" t="e">
        <f t="shared" si="1"/>
        <v>#DIV/0!</v>
      </c>
    </row>
    <row r="105" spans="1:8">
      <c r="A105" s="630"/>
      <c r="B105" s="627"/>
      <c r="C105" s="393">
        <v>421</v>
      </c>
      <c r="D105" s="393">
        <v>0</v>
      </c>
      <c r="E105" s="401" t="s">
        <v>327</v>
      </c>
      <c r="F105" s="395"/>
      <c r="G105" s="395"/>
      <c r="H105" s="396" t="e">
        <f t="shared" si="1"/>
        <v>#DIV/0!</v>
      </c>
    </row>
    <row r="106" spans="1:8">
      <c r="A106" s="630"/>
      <c r="B106" s="627"/>
      <c r="C106" s="393">
        <v>424</v>
      </c>
      <c r="D106" s="393">
        <v>0</v>
      </c>
      <c r="E106" s="401" t="s">
        <v>358</v>
      </c>
      <c r="F106" s="395"/>
      <c r="G106" s="395"/>
      <c r="H106" s="396" t="e">
        <f t="shared" si="1"/>
        <v>#DIV/0!</v>
      </c>
    </row>
    <row r="107" spans="1:8">
      <c r="A107" s="630"/>
      <c r="B107" s="627"/>
      <c r="C107" s="393">
        <v>426</v>
      </c>
      <c r="D107" s="393">
        <v>0</v>
      </c>
      <c r="E107" s="401" t="s">
        <v>336</v>
      </c>
      <c r="F107" s="395"/>
      <c r="G107" s="395"/>
      <c r="H107" s="396" t="e">
        <f t="shared" si="1"/>
        <v>#DIV/0!</v>
      </c>
    </row>
    <row r="108" spans="1:8">
      <c r="A108" s="630"/>
      <c r="B108" s="627"/>
      <c r="C108" s="393">
        <v>427</v>
      </c>
      <c r="D108" s="393">
        <v>0</v>
      </c>
      <c r="E108" s="401" t="s">
        <v>337</v>
      </c>
      <c r="F108" s="395"/>
      <c r="G108" s="395"/>
      <c r="H108" s="396" t="e">
        <f t="shared" si="1"/>
        <v>#DIV/0!</v>
      </c>
    </row>
    <row r="109" spans="1:8">
      <c r="A109" s="630"/>
      <c r="B109" s="627"/>
      <c r="C109" s="393">
        <v>428</v>
      </c>
      <c r="D109" s="393">
        <v>0</v>
      </c>
      <c r="E109" s="401" t="s">
        <v>338</v>
      </c>
      <c r="F109" s="395"/>
      <c r="G109" s="395"/>
      <c r="H109" s="396" t="e">
        <f t="shared" si="1"/>
        <v>#DIV/0!</v>
      </c>
    </row>
    <row r="110" spans="1:8">
      <c r="A110" s="630"/>
      <c r="B110" s="627"/>
      <c r="C110" s="393">
        <v>430</v>
      </c>
      <c r="D110" s="393">
        <v>0</v>
      </c>
      <c r="E110" s="401" t="s">
        <v>324</v>
      </c>
      <c r="F110" s="395"/>
      <c r="G110" s="395"/>
      <c r="H110" s="396" t="e">
        <f t="shared" si="1"/>
        <v>#DIV/0!</v>
      </c>
    </row>
    <row r="111" spans="1:8">
      <c r="A111" s="630"/>
      <c r="B111" s="627"/>
      <c r="C111" s="393">
        <v>435</v>
      </c>
      <c r="D111" s="393">
        <v>0</v>
      </c>
      <c r="E111" s="401" t="s">
        <v>339</v>
      </c>
      <c r="F111" s="395"/>
      <c r="G111" s="395"/>
      <c r="H111" s="396" t="e">
        <f t="shared" si="1"/>
        <v>#DIV/0!</v>
      </c>
    </row>
    <row r="112" spans="1:8" ht="30" customHeight="1">
      <c r="A112" s="630"/>
      <c r="B112" s="627"/>
      <c r="C112" s="393">
        <v>436</v>
      </c>
      <c r="D112" s="393">
        <v>0</v>
      </c>
      <c r="E112" s="402" t="s">
        <v>340</v>
      </c>
      <c r="F112" s="395"/>
      <c r="G112" s="395"/>
      <c r="H112" s="396" t="e">
        <f t="shared" si="1"/>
        <v>#DIV/0!</v>
      </c>
    </row>
    <row r="113" spans="1:8" ht="27.75" customHeight="1">
      <c r="A113" s="630"/>
      <c r="B113" s="627"/>
      <c r="C113" s="393">
        <v>437</v>
      </c>
      <c r="D113" s="393">
        <v>0</v>
      </c>
      <c r="E113" s="402" t="s">
        <v>341</v>
      </c>
      <c r="F113" s="395"/>
      <c r="G113" s="395"/>
      <c r="H113" s="396" t="e">
        <f t="shared" si="1"/>
        <v>#DIV/0!</v>
      </c>
    </row>
    <row r="114" spans="1:8">
      <c r="A114" s="630"/>
      <c r="B114" s="627"/>
      <c r="C114" s="393">
        <v>438</v>
      </c>
      <c r="D114" s="393">
        <v>0</v>
      </c>
      <c r="E114" s="401" t="s">
        <v>359</v>
      </c>
      <c r="F114" s="395"/>
      <c r="G114" s="395"/>
      <c r="H114" s="396" t="e">
        <f t="shared" si="1"/>
        <v>#DIV/0!</v>
      </c>
    </row>
    <row r="115" spans="1:8" ht="36.75" customHeight="1">
      <c r="A115" s="630"/>
      <c r="B115" s="627"/>
      <c r="C115" s="393">
        <v>440</v>
      </c>
      <c r="D115" s="393">
        <v>0</v>
      </c>
      <c r="E115" s="402" t="s">
        <v>354</v>
      </c>
      <c r="F115" s="395"/>
      <c r="G115" s="395"/>
      <c r="H115" s="396" t="e">
        <f t="shared" si="1"/>
        <v>#DIV/0!</v>
      </c>
    </row>
    <row r="116" spans="1:8">
      <c r="A116" s="630"/>
      <c r="B116" s="627"/>
      <c r="C116" s="393">
        <v>441</v>
      </c>
      <c r="D116" s="393">
        <v>0</v>
      </c>
      <c r="E116" s="401" t="s">
        <v>342</v>
      </c>
      <c r="F116" s="395"/>
      <c r="G116" s="395"/>
      <c r="H116" s="396" t="e">
        <f t="shared" si="1"/>
        <v>#DIV/0!</v>
      </c>
    </row>
    <row r="117" spans="1:8">
      <c r="A117" s="630"/>
      <c r="B117" s="627"/>
      <c r="C117" s="393">
        <v>442</v>
      </c>
      <c r="D117" s="393">
        <v>0</v>
      </c>
      <c r="E117" s="401" t="s">
        <v>360</v>
      </c>
      <c r="F117" s="395"/>
      <c r="G117" s="395"/>
      <c r="H117" s="396" t="e">
        <f t="shared" si="1"/>
        <v>#DIV/0!</v>
      </c>
    </row>
    <row r="118" spans="1:8">
      <c r="A118" s="630"/>
      <c r="B118" s="627"/>
      <c r="C118" s="393">
        <v>444</v>
      </c>
      <c r="D118" s="393">
        <v>0</v>
      </c>
      <c r="E118" s="401" t="s">
        <v>343</v>
      </c>
      <c r="F118" s="395"/>
      <c r="G118" s="395"/>
      <c r="H118" s="396" t="e">
        <f t="shared" si="1"/>
        <v>#DIV/0!</v>
      </c>
    </row>
    <row r="119" spans="1:8">
      <c r="A119" s="630"/>
      <c r="B119" s="627"/>
      <c r="C119" s="393">
        <v>453</v>
      </c>
      <c r="D119" s="393">
        <v>0</v>
      </c>
      <c r="E119" s="401" t="s">
        <v>328</v>
      </c>
      <c r="F119" s="395"/>
      <c r="G119" s="395"/>
      <c r="H119" s="396" t="e">
        <f t="shared" si="1"/>
        <v>#DIV/0!</v>
      </c>
    </row>
    <row r="120" spans="1:8" ht="24.75" customHeight="1">
      <c r="A120" s="630"/>
      <c r="B120" s="627"/>
      <c r="C120" s="393">
        <v>459</v>
      </c>
      <c r="D120" s="393">
        <v>0</v>
      </c>
      <c r="E120" s="402" t="s">
        <v>361</v>
      </c>
      <c r="F120" s="395"/>
      <c r="G120" s="395"/>
      <c r="H120" s="396" t="e">
        <f t="shared" si="1"/>
        <v>#DIV/0!</v>
      </c>
    </row>
    <row r="121" spans="1:8" ht="38.25" customHeight="1">
      <c r="A121" s="630"/>
      <c r="B121" s="627"/>
      <c r="C121" s="393">
        <v>460</v>
      </c>
      <c r="D121" s="393">
        <v>0</v>
      </c>
      <c r="E121" s="402" t="s">
        <v>362</v>
      </c>
      <c r="F121" s="395"/>
      <c r="G121" s="395"/>
      <c r="H121" s="396" t="e">
        <f t="shared" si="1"/>
        <v>#DIV/0!</v>
      </c>
    </row>
    <row r="122" spans="1:8">
      <c r="A122" s="630"/>
      <c r="B122" s="627"/>
      <c r="C122" s="393">
        <v>461</v>
      </c>
      <c r="D122" s="393">
        <v>0</v>
      </c>
      <c r="E122" s="401" t="s">
        <v>347</v>
      </c>
      <c r="F122" s="395"/>
      <c r="G122" s="395"/>
      <c r="H122" s="396" t="e">
        <f t="shared" si="1"/>
        <v>#DIV/0!</v>
      </c>
    </row>
    <row r="123" spans="1:8" ht="29.25" customHeight="1">
      <c r="A123" s="630"/>
      <c r="B123" s="627"/>
      <c r="C123" s="393">
        <v>470</v>
      </c>
      <c r="D123" s="393">
        <v>0</v>
      </c>
      <c r="E123" s="402" t="s">
        <v>348</v>
      </c>
      <c r="F123" s="395"/>
      <c r="G123" s="395"/>
      <c r="H123" s="396" t="e">
        <f t="shared" si="1"/>
        <v>#DIV/0!</v>
      </c>
    </row>
    <row r="124" spans="1:8" ht="22.5" customHeight="1">
      <c r="A124" s="630"/>
      <c r="B124" s="627"/>
      <c r="C124" s="393">
        <v>605</v>
      </c>
      <c r="D124" s="393">
        <v>0</v>
      </c>
      <c r="E124" s="402" t="s">
        <v>349</v>
      </c>
      <c r="F124" s="395"/>
      <c r="G124" s="395"/>
      <c r="H124" s="396" t="e">
        <f t="shared" si="1"/>
        <v>#DIV/0!</v>
      </c>
    </row>
    <row r="125" spans="1:8" ht="27.75" customHeight="1">
      <c r="A125" s="630"/>
      <c r="B125" s="627"/>
      <c r="C125" s="393">
        <v>606</v>
      </c>
      <c r="D125" s="393">
        <v>0</v>
      </c>
      <c r="E125" s="404" t="s">
        <v>350</v>
      </c>
      <c r="F125" s="395"/>
      <c r="G125" s="395"/>
      <c r="H125" s="396" t="e">
        <f t="shared" si="1"/>
        <v>#DIV/0!</v>
      </c>
    </row>
    <row r="126" spans="1:8">
      <c r="A126" s="630"/>
      <c r="B126" s="380">
        <v>75045</v>
      </c>
      <c r="C126" s="393"/>
      <c r="D126" s="393"/>
      <c r="E126" s="381" t="s">
        <v>286</v>
      </c>
      <c r="F126" s="395">
        <f>SUM(F127:F132)</f>
        <v>0</v>
      </c>
      <c r="G126" s="395">
        <f>SUM(G127:G132)</f>
        <v>0</v>
      </c>
      <c r="H126" s="396" t="e">
        <f t="shared" si="1"/>
        <v>#DIV/0!</v>
      </c>
    </row>
    <row r="127" spans="1:8">
      <c r="A127" s="630"/>
      <c r="B127" s="627"/>
      <c r="C127" s="393">
        <v>411</v>
      </c>
      <c r="D127" s="393">
        <v>0</v>
      </c>
      <c r="E127" s="401" t="s">
        <v>333</v>
      </c>
      <c r="F127" s="395"/>
      <c r="G127" s="395"/>
      <c r="H127" s="396" t="e">
        <f t="shared" si="1"/>
        <v>#DIV/0!</v>
      </c>
    </row>
    <row r="128" spans="1:8">
      <c r="A128" s="630"/>
      <c r="B128" s="627"/>
      <c r="C128" s="393">
        <v>412</v>
      </c>
      <c r="D128" s="393">
        <v>0</v>
      </c>
      <c r="E128" s="401" t="s">
        <v>334</v>
      </c>
      <c r="F128" s="395"/>
      <c r="G128" s="395"/>
      <c r="H128" s="396" t="e">
        <f t="shared" si="1"/>
        <v>#DIV/0!</v>
      </c>
    </row>
    <row r="129" spans="1:8">
      <c r="A129" s="630"/>
      <c r="B129" s="627"/>
      <c r="C129" s="393">
        <v>417</v>
      </c>
      <c r="D129" s="393">
        <v>0</v>
      </c>
      <c r="E129" s="401" t="s">
        <v>335</v>
      </c>
      <c r="F129" s="395"/>
      <c r="G129" s="395"/>
      <c r="H129" s="396" t="e">
        <f t="shared" si="1"/>
        <v>#DIV/0!</v>
      </c>
    </row>
    <row r="130" spans="1:8">
      <c r="A130" s="630"/>
      <c r="B130" s="627"/>
      <c r="C130" s="393">
        <v>421</v>
      </c>
      <c r="D130" s="393">
        <v>0</v>
      </c>
      <c r="E130" s="401" t="s">
        <v>327</v>
      </c>
      <c r="F130" s="395"/>
      <c r="G130" s="395"/>
      <c r="H130" s="396" t="e">
        <f t="shared" si="1"/>
        <v>#DIV/0!</v>
      </c>
    </row>
    <row r="131" spans="1:8">
      <c r="A131" s="630"/>
      <c r="B131" s="627"/>
      <c r="C131" s="393">
        <v>430</v>
      </c>
      <c r="D131" s="393">
        <v>0</v>
      </c>
      <c r="E131" s="401" t="s">
        <v>324</v>
      </c>
      <c r="F131" s="395"/>
      <c r="G131" s="395"/>
      <c r="H131" s="396" t="e">
        <f t="shared" si="1"/>
        <v>#DIV/0!</v>
      </c>
    </row>
    <row r="132" spans="1:8" ht="24.75" customHeight="1">
      <c r="A132" s="630"/>
      <c r="B132" s="627"/>
      <c r="C132" s="393">
        <v>440</v>
      </c>
      <c r="D132" s="393">
        <v>0</v>
      </c>
      <c r="E132" s="402" t="s">
        <v>354</v>
      </c>
      <c r="F132" s="395"/>
      <c r="G132" s="395"/>
      <c r="H132" s="396" t="e">
        <f t="shared" si="1"/>
        <v>#DIV/0!</v>
      </c>
    </row>
    <row r="133" spans="1:8">
      <c r="A133" s="630"/>
      <c r="B133" s="380">
        <v>75075</v>
      </c>
      <c r="C133" s="393"/>
      <c r="D133" s="393"/>
      <c r="E133" s="381" t="s">
        <v>363</v>
      </c>
      <c r="F133" s="395">
        <f>SUM(F134:F151)</f>
        <v>0</v>
      </c>
      <c r="G133" s="395">
        <f>SUM(G134:G151)</f>
        <v>0</v>
      </c>
      <c r="H133" s="396" t="e">
        <f t="shared" si="1"/>
        <v>#DIV/0!</v>
      </c>
    </row>
    <row r="134" spans="1:8">
      <c r="A134" s="630"/>
      <c r="B134" s="629"/>
      <c r="C134" s="393">
        <v>411</v>
      </c>
      <c r="D134" s="393">
        <v>0</v>
      </c>
      <c r="E134" s="401" t="s">
        <v>333</v>
      </c>
      <c r="F134" s="395"/>
      <c r="G134" s="395"/>
      <c r="H134" s="396" t="e">
        <f t="shared" si="1"/>
        <v>#DIV/0!</v>
      </c>
    </row>
    <row r="135" spans="1:8">
      <c r="A135" s="630"/>
      <c r="B135" s="630"/>
      <c r="C135" s="393">
        <v>411</v>
      </c>
      <c r="D135" s="393">
        <v>7</v>
      </c>
      <c r="E135" s="401" t="s">
        <v>333</v>
      </c>
      <c r="F135" s="395"/>
      <c r="G135" s="395"/>
      <c r="H135" s="396" t="e">
        <f t="shared" si="1"/>
        <v>#DIV/0!</v>
      </c>
    </row>
    <row r="136" spans="1:8">
      <c r="A136" s="630"/>
      <c r="B136" s="630"/>
      <c r="C136" s="393">
        <v>411</v>
      </c>
      <c r="D136" s="393">
        <v>9</v>
      </c>
      <c r="E136" s="401" t="s">
        <v>333</v>
      </c>
      <c r="F136" s="395"/>
      <c r="G136" s="395"/>
      <c r="H136" s="396" t="e">
        <f t="shared" si="1"/>
        <v>#DIV/0!</v>
      </c>
    </row>
    <row r="137" spans="1:8">
      <c r="A137" s="630"/>
      <c r="B137" s="630"/>
      <c r="C137" s="393">
        <v>412</v>
      </c>
      <c r="D137" s="393">
        <v>0</v>
      </c>
      <c r="E137" s="401" t="s">
        <v>334</v>
      </c>
      <c r="F137" s="395"/>
      <c r="G137" s="395"/>
      <c r="H137" s="396" t="e">
        <f t="shared" si="1"/>
        <v>#DIV/0!</v>
      </c>
    </row>
    <row r="138" spans="1:8">
      <c r="A138" s="630"/>
      <c r="B138" s="630"/>
      <c r="C138" s="393">
        <v>412</v>
      </c>
      <c r="D138" s="393">
        <v>7</v>
      </c>
      <c r="E138" s="401" t="s">
        <v>334</v>
      </c>
      <c r="F138" s="395"/>
      <c r="G138" s="395"/>
      <c r="H138" s="396" t="e">
        <f t="shared" si="1"/>
        <v>#DIV/0!</v>
      </c>
    </row>
    <row r="139" spans="1:8">
      <c r="A139" s="630"/>
      <c r="B139" s="630"/>
      <c r="C139" s="393">
        <v>412</v>
      </c>
      <c r="D139" s="393">
        <v>9</v>
      </c>
      <c r="E139" s="401" t="s">
        <v>334</v>
      </c>
      <c r="F139" s="395"/>
      <c r="G139" s="395"/>
      <c r="H139" s="396" t="e">
        <f t="shared" ref="H139:H206" si="2">G139/F139*100</f>
        <v>#DIV/0!</v>
      </c>
    </row>
    <row r="140" spans="1:8">
      <c r="A140" s="630"/>
      <c r="B140" s="630"/>
      <c r="C140" s="393">
        <v>417</v>
      </c>
      <c r="D140" s="393">
        <v>0</v>
      </c>
      <c r="E140" s="401" t="s">
        <v>335</v>
      </c>
      <c r="F140" s="395"/>
      <c r="G140" s="395"/>
      <c r="H140" s="396" t="e">
        <f t="shared" si="2"/>
        <v>#DIV/0!</v>
      </c>
    </row>
    <row r="141" spans="1:8">
      <c r="A141" s="630"/>
      <c r="B141" s="630"/>
      <c r="C141" s="393">
        <v>417</v>
      </c>
      <c r="D141" s="393">
        <v>7</v>
      </c>
      <c r="E141" s="401" t="s">
        <v>335</v>
      </c>
      <c r="F141" s="395"/>
      <c r="G141" s="395"/>
      <c r="H141" s="396" t="e">
        <f t="shared" si="2"/>
        <v>#DIV/0!</v>
      </c>
    </row>
    <row r="142" spans="1:8">
      <c r="A142" s="630"/>
      <c r="B142" s="630"/>
      <c r="C142" s="393">
        <v>417</v>
      </c>
      <c r="D142" s="393">
        <v>9</v>
      </c>
      <c r="E142" s="401" t="s">
        <v>335</v>
      </c>
      <c r="F142" s="395"/>
      <c r="G142" s="395"/>
      <c r="H142" s="396" t="e">
        <f t="shared" si="2"/>
        <v>#DIV/0!</v>
      </c>
    </row>
    <row r="143" spans="1:8">
      <c r="A143" s="630"/>
      <c r="B143" s="630"/>
      <c r="C143" s="393">
        <v>421</v>
      </c>
      <c r="D143" s="393">
        <v>0</v>
      </c>
      <c r="E143" s="401" t="s">
        <v>327</v>
      </c>
      <c r="F143" s="395"/>
      <c r="G143" s="395"/>
      <c r="H143" s="396" t="e">
        <f t="shared" si="2"/>
        <v>#DIV/0!</v>
      </c>
    </row>
    <row r="144" spans="1:8">
      <c r="A144" s="630"/>
      <c r="B144" s="630"/>
      <c r="C144" s="393">
        <v>421</v>
      </c>
      <c r="D144" s="393">
        <v>7</v>
      </c>
      <c r="E144" s="401" t="s">
        <v>327</v>
      </c>
      <c r="F144" s="395"/>
      <c r="G144" s="395"/>
      <c r="H144" s="396" t="e">
        <f t="shared" si="2"/>
        <v>#DIV/0!</v>
      </c>
    </row>
    <row r="145" spans="1:8">
      <c r="A145" s="630"/>
      <c r="B145" s="630"/>
      <c r="C145" s="393">
        <v>421</v>
      </c>
      <c r="D145" s="393">
        <v>9</v>
      </c>
      <c r="E145" s="401" t="s">
        <v>327</v>
      </c>
      <c r="F145" s="395"/>
      <c r="G145" s="395"/>
      <c r="H145" s="396" t="e">
        <f t="shared" si="2"/>
        <v>#DIV/0!</v>
      </c>
    </row>
    <row r="146" spans="1:8">
      <c r="A146" s="630"/>
      <c r="B146" s="630"/>
      <c r="C146" s="393">
        <v>426</v>
      </c>
      <c r="D146" s="393">
        <v>0</v>
      </c>
      <c r="E146" s="401" t="s">
        <v>336</v>
      </c>
      <c r="F146" s="395"/>
      <c r="G146" s="395"/>
      <c r="H146" s="396" t="e">
        <f t="shared" si="2"/>
        <v>#DIV/0!</v>
      </c>
    </row>
    <row r="147" spans="1:8">
      <c r="A147" s="630"/>
      <c r="B147" s="630"/>
      <c r="C147" s="393">
        <v>427</v>
      </c>
      <c r="D147" s="393">
        <v>0</v>
      </c>
      <c r="E147" s="401" t="s">
        <v>337</v>
      </c>
      <c r="F147" s="395"/>
      <c r="G147" s="395"/>
      <c r="H147" s="396" t="e">
        <f t="shared" si="2"/>
        <v>#DIV/0!</v>
      </c>
    </row>
    <row r="148" spans="1:8">
      <c r="A148" s="630"/>
      <c r="B148" s="630"/>
      <c r="C148" s="393">
        <v>430</v>
      </c>
      <c r="D148" s="393">
        <v>0</v>
      </c>
      <c r="E148" s="401" t="s">
        <v>324</v>
      </c>
      <c r="F148" s="395"/>
      <c r="G148" s="395"/>
      <c r="H148" s="396" t="e">
        <f t="shared" si="2"/>
        <v>#DIV/0!</v>
      </c>
    </row>
    <row r="149" spans="1:8">
      <c r="A149" s="630"/>
      <c r="B149" s="630"/>
      <c r="C149" s="393">
        <v>430</v>
      </c>
      <c r="D149" s="393">
        <v>7</v>
      </c>
      <c r="E149" s="401" t="s">
        <v>324</v>
      </c>
      <c r="F149" s="395"/>
      <c r="G149" s="395"/>
      <c r="H149" s="396" t="e">
        <f t="shared" si="2"/>
        <v>#DIV/0!</v>
      </c>
    </row>
    <row r="150" spans="1:8">
      <c r="A150" s="630"/>
      <c r="B150" s="630"/>
      <c r="C150" s="393">
        <v>430</v>
      </c>
      <c r="D150" s="393">
        <v>9</v>
      </c>
      <c r="E150" s="401" t="s">
        <v>324</v>
      </c>
      <c r="F150" s="395"/>
      <c r="G150" s="395"/>
      <c r="H150" s="396" t="e">
        <f t="shared" si="2"/>
        <v>#DIV/0!</v>
      </c>
    </row>
    <row r="151" spans="1:8" ht="18" customHeight="1">
      <c r="A151" s="630"/>
      <c r="B151" s="631"/>
      <c r="C151" s="393">
        <v>438</v>
      </c>
      <c r="D151" s="393">
        <v>0</v>
      </c>
      <c r="E151" s="402" t="s">
        <v>359</v>
      </c>
      <c r="F151" s="395"/>
      <c r="G151" s="395"/>
      <c r="H151" s="396" t="e">
        <f t="shared" si="2"/>
        <v>#DIV/0!</v>
      </c>
    </row>
    <row r="152" spans="1:8">
      <c r="A152" s="630"/>
      <c r="B152" s="380">
        <v>75095</v>
      </c>
      <c r="C152" s="393"/>
      <c r="D152" s="393"/>
      <c r="E152" s="381" t="s">
        <v>74</v>
      </c>
      <c r="F152" s="395">
        <f>SUM(F153:F156)</f>
        <v>0</v>
      </c>
      <c r="G152" s="395">
        <f>SUM(G153:G156)</f>
        <v>0</v>
      </c>
      <c r="H152" s="396" t="e">
        <f t="shared" si="2"/>
        <v>#DIV/0!</v>
      </c>
    </row>
    <row r="153" spans="1:8">
      <c r="A153" s="630"/>
      <c r="B153" s="629"/>
      <c r="C153" s="393">
        <v>443</v>
      </c>
      <c r="D153" s="393">
        <v>0</v>
      </c>
      <c r="E153" s="401" t="s">
        <v>356</v>
      </c>
      <c r="F153" s="395"/>
      <c r="G153" s="395"/>
      <c r="H153" s="396" t="e">
        <f t="shared" si="2"/>
        <v>#DIV/0!</v>
      </c>
    </row>
    <row r="154" spans="1:8">
      <c r="A154" s="630"/>
      <c r="B154" s="630"/>
      <c r="C154" s="393">
        <v>453</v>
      </c>
      <c r="D154" s="393">
        <v>0</v>
      </c>
      <c r="E154" s="401" t="s">
        <v>328</v>
      </c>
      <c r="F154" s="395"/>
      <c r="G154" s="395"/>
      <c r="H154" s="396" t="e">
        <f t="shared" si="2"/>
        <v>#DIV/0!</v>
      </c>
    </row>
    <row r="155" spans="1:8">
      <c r="A155" s="630"/>
      <c r="B155" s="630"/>
      <c r="C155" s="393">
        <v>461</v>
      </c>
      <c r="D155" s="393">
        <v>0</v>
      </c>
      <c r="E155" s="401" t="s">
        <v>347</v>
      </c>
      <c r="F155" s="395"/>
      <c r="G155" s="395"/>
      <c r="H155" s="396" t="e">
        <f t="shared" si="2"/>
        <v>#DIV/0!</v>
      </c>
    </row>
    <row r="156" spans="1:8">
      <c r="A156" s="631"/>
      <c r="B156" s="631"/>
      <c r="C156" s="393">
        <v>481</v>
      </c>
      <c r="D156" s="393">
        <v>0</v>
      </c>
      <c r="E156" s="401" t="s">
        <v>364</v>
      </c>
      <c r="F156" s="395"/>
      <c r="G156" s="395"/>
      <c r="H156" s="396" t="e">
        <f t="shared" si="2"/>
        <v>#DIV/0!</v>
      </c>
    </row>
    <row r="157" spans="1:8" ht="24" customHeight="1">
      <c r="A157" s="387">
        <v>754</v>
      </c>
      <c r="B157" s="387"/>
      <c r="C157" s="388"/>
      <c r="D157" s="388"/>
      <c r="E157" s="407" t="s">
        <v>32</v>
      </c>
      <c r="F157" s="390">
        <f>F158+F160+F162+F191</f>
        <v>0</v>
      </c>
      <c r="G157" s="390">
        <f>G158+G160+G162+G191</f>
        <v>0</v>
      </c>
      <c r="H157" s="391" t="e">
        <f t="shared" si="2"/>
        <v>#DIV/0!</v>
      </c>
    </row>
    <row r="158" spans="1:8" ht="15" customHeight="1">
      <c r="A158" s="627"/>
      <c r="B158" s="380">
        <v>75405</v>
      </c>
      <c r="C158" s="393"/>
      <c r="D158" s="393"/>
      <c r="E158" s="183" t="s">
        <v>365</v>
      </c>
      <c r="F158" s="395">
        <f>F159</f>
        <v>0</v>
      </c>
      <c r="G158" s="395">
        <f>G159</f>
        <v>0</v>
      </c>
      <c r="H158" s="396" t="e">
        <f t="shared" si="2"/>
        <v>#DIV/0!</v>
      </c>
    </row>
    <row r="159" spans="1:8" ht="15" customHeight="1">
      <c r="A159" s="627"/>
      <c r="B159" s="380"/>
      <c r="C159" s="393">
        <v>300</v>
      </c>
      <c r="D159" s="393">
        <v>0</v>
      </c>
      <c r="E159" s="404" t="s">
        <v>366</v>
      </c>
      <c r="F159" s="395"/>
      <c r="G159" s="395"/>
      <c r="H159" s="396" t="e">
        <f t="shared" si="2"/>
        <v>#DIV/0!</v>
      </c>
    </row>
    <row r="160" spans="1:8" ht="15" customHeight="1">
      <c r="A160" s="627"/>
      <c r="B160" s="380">
        <v>75406</v>
      </c>
      <c r="C160" s="393"/>
      <c r="D160" s="393"/>
      <c r="E160" s="183" t="s">
        <v>195</v>
      </c>
      <c r="F160" s="395">
        <f>F161</f>
        <v>0</v>
      </c>
      <c r="G160" s="395">
        <f>G161</f>
        <v>0</v>
      </c>
      <c r="H160" s="396" t="e">
        <f t="shared" si="2"/>
        <v>#DIV/0!</v>
      </c>
    </row>
    <row r="161" spans="1:8" ht="15" customHeight="1">
      <c r="A161" s="627"/>
      <c r="B161" s="380"/>
      <c r="C161" s="393">
        <v>300</v>
      </c>
      <c r="D161" s="393">
        <v>0</v>
      </c>
      <c r="E161" s="404" t="s">
        <v>366</v>
      </c>
      <c r="F161" s="395"/>
      <c r="G161" s="395"/>
      <c r="H161" s="396" t="e">
        <f t="shared" si="2"/>
        <v>#DIV/0!</v>
      </c>
    </row>
    <row r="162" spans="1:8" ht="15" customHeight="1">
      <c r="A162" s="627"/>
      <c r="B162" s="380">
        <v>75411</v>
      </c>
      <c r="C162" s="393"/>
      <c r="D162" s="393"/>
      <c r="E162" s="183" t="s">
        <v>108</v>
      </c>
      <c r="F162" s="395">
        <f>SUM(F163:F190)</f>
        <v>0</v>
      </c>
      <c r="G162" s="395">
        <f>SUM(G163:G190)</f>
        <v>0</v>
      </c>
      <c r="H162" s="396" t="e">
        <f t="shared" si="2"/>
        <v>#DIV/0!</v>
      </c>
    </row>
    <row r="163" spans="1:8" ht="15" customHeight="1">
      <c r="A163" s="627"/>
      <c r="B163" s="627"/>
      <c r="C163" s="393">
        <v>307</v>
      </c>
      <c r="D163" s="393">
        <v>0</v>
      </c>
      <c r="E163" s="402" t="s">
        <v>367</v>
      </c>
      <c r="F163" s="395"/>
      <c r="G163" s="395"/>
      <c r="H163" s="396" t="e">
        <f t="shared" si="2"/>
        <v>#DIV/0!</v>
      </c>
    </row>
    <row r="164" spans="1:8" ht="15" customHeight="1">
      <c r="A164" s="627"/>
      <c r="B164" s="627"/>
      <c r="C164" s="393">
        <v>402</v>
      </c>
      <c r="D164" s="393">
        <v>0</v>
      </c>
      <c r="E164" s="402" t="s">
        <v>355</v>
      </c>
      <c r="F164" s="395"/>
      <c r="G164" s="395"/>
      <c r="H164" s="396" t="e">
        <f t="shared" si="2"/>
        <v>#DIV/0!</v>
      </c>
    </row>
    <row r="165" spans="1:8" ht="15" customHeight="1">
      <c r="A165" s="627"/>
      <c r="B165" s="627"/>
      <c r="C165" s="393">
        <v>404</v>
      </c>
      <c r="D165" s="393">
        <v>0</v>
      </c>
      <c r="E165" s="401" t="s">
        <v>332</v>
      </c>
      <c r="F165" s="395"/>
      <c r="G165" s="395"/>
      <c r="H165" s="396" t="e">
        <f t="shared" si="2"/>
        <v>#DIV/0!</v>
      </c>
    </row>
    <row r="166" spans="1:8" ht="15" customHeight="1">
      <c r="A166" s="627"/>
      <c r="B166" s="627"/>
      <c r="C166" s="393">
        <v>405</v>
      </c>
      <c r="D166" s="393">
        <v>0</v>
      </c>
      <c r="E166" s="402" t="s">
        <v>368</v>
      </c>
      <c r="F166" s="395"/>
      <c r="G166" s="395"/>
      <c r="H166" s="396" t="e">
        <f t="shared" si="2"/>
        <v>#DIV/0!</v>
      </c>
    </row>
    <row r="167" spans="1:8" ht="15" customHeight="1">
      <c r="A167" s="627"/>
      <c r="B167" s="627"/>
      <c r="C167" s="393">
        <v>406</v>
      </c>
      <c r="D167" s="393">
        <v>0</v>
      </c>
      <c r="E167" s="402" t="s">
        <v>369</v>
      </c>
      <c r="F167" s="395"/>
      <c r="G167" s="395"/>
      <c r="H167" s="396" t="e">
        <f t="shared" si="2"/>
        <v>#DIV/0!</v>
      </c>
    </row>
    <row r="168" spans="1:8" ht="15" customHeight="1">
      <c r="A168" s="627"/>
      <c r="B168" s="627"/>
      <c r="C168" s="393">
        <v>407</v>
      </c>
      <c r="D168" s="393">
        <v>0</v>
      </c>
      <c r="E168" s="183" t="s">
        <v>370</v>
      </c>
      <c r="F168" s="395"/>
      <c r="G168" s="395"/>
      <c r="H168" s="396" t="e">
        <f t="shared" si="2"/>
        <v>#DIV/0!</v>
      </c>
    </row>
    <row r="169" spans="1:8" ht="15" customHeight="1">
      <c r="A169" s="627"/>
      <c r="B169" s="627"/>
      <c r="C169" s="393">
        <v>411</v>
      </c>
      <c r="D169" s="393">
        <v>0</v>
      </c>
      <c r="E169" s="401" t="s">
        <v>333</v>
      </c>
      <c r="F169" s="395"/>
      <c r="G169" s="395"/>
      <c r="H169" s="396" t="e">
        <f t="shared" si="2"/>
        <v>#DIV/0!</v>
      </c>
    </row>
    <row r="170" spans="1:8" ht="15" customHeight="1">
      <c r="A170" s="627"/>
      <c r="B170" s="627"/>
      <c r="C170" s="393">
        <v>412</v>
      </c>
      <c r="D170" s="393">
        <v>0</v>
      </c>
      <c r="E170" s="401" t="s">
        <v>334</v>
      </c>
      <c r="F170" s="395"/>
      <c r="G170" s="395"/>
      <c r="H170" s="396" t="e">
        <f t="shared" si="2"/>
        <v>#DIV/0!</v>
      </c>
    </row>
    <row r="171" spans="1:8" ht="15" customHeight="1">
      <c r="A171" s="627"/>
      <c r="B171" s="627"/>
      <c r="C171" s="393">
        <v>417</v>
      </c>
      <c r="D171" s="393">
        <v>0</v>
      </c>
      <c r="E171" s="401" t="s">
        <v>335</v>
      </c>
      <c r="F171" s="395"/>
      <c r="G171" s="395"/>
      <c r="H171" s="396" t="e">
        <f t="shared" si="2"/>
        <v>#DIV/0!</v>
      </c>
    </row>
    <row r="172" spans="1:8" ht="15" customHeight="1">
      <c r="A172" s="627"/>
      <c r="B172" s="627"/>
      <c r="C172" s="393">
        <v>418</v>
      </c>
      <c r="D172" s="393">
        <v>0</v>
      </c>
      <c r="E172" s="402" t="s">
        <v>371</v>
      </c>
      <c r="F172" s="395"/>
      <c r="G172" s="395"/>
      <c r="H172" s="396" t="e">
        <f t="shared" si="2"/>
        <v>#DIV/0!</v>
      </c>
    </row>
    <row r="173" spans="1:8" ht="15" customHeight="1">
      <c r="A173" s="627"/>
      <c r="B173" s="627"/>
      <c r="C173" s="393">
        <v>421</v>
      </c>
      <c r="D173" s="393">
        <v>0</v>
      </c>
      <c r="E173" s="401" t="s">
        <v>327</v>
      </c>
      <c r="F173" s="395"/>
      <c r="G173" s="395"/>
      <c r="H173" s="396" t="e">
        <f t="shared" si="2"/>
        <v>#DIV/0!</v>
      </c>
    </row>
    <row r="174" spans="1:8" ht="15" customHeight="1">
      <c r="A174" s="627"/>
      <c r="B174" s="627"/>
      <c r="C174" s="393">
        <v>423</v>
      </c>
      <c r="D174" s="393">
        <v>0</v>
      </c>
      <c r="E174" s="404" t="s">
        <v>372</v>
      </c>
      <c r="F174" s="395"/>
      <c r="G174" s="395"/>
      <c r="H174" s="396" t="e">
        <f t="shared" si="2"/>
        <v>#DIV/0!</v>
      </c>
    </row>
    <row r="175" spans="1:8" ht="15" customHeight="1">
      <c r="A175" s="627"/>
      <c r="B175" s="627"/>
      <c r="C175" s="393">
        <v>424</v>
      </c>
      <c r="D175" s="393">
        <v>0</v>
      </c>
      <c r="E175" s="402" t="s">
        <v>358</v>
      </c>
      <c r="F175" s="395"/>
      <c r="G175" s="395"/>
      <c r="H175" s="396" t="e">
        <f t="shared" si="2"/>
        <v>#DIV/0!</v>
      </c>
    </row>
    <row r="176" spans="1:8" ht="15" customHeight="1">
      <c r="A176" s="627"/>
      <c r="B176" s="627"/>
      <c r="C176" s="393">
        <v>425</v>
      </c>
      <c r="D176" s="393">
        <v>0</v>
      </c>
      <c r="E176" s="404" t="s">
        <v>373</v>
      </c>
      <c r="F176" s="395"/>
      <c r="G176" s="395"/>
      <c r="H176" s="396" t="e">
        <f t="shared" si="2"/>
        <v>#DIV/0!</v>
      </c>
    </row>
    <row r="177" spans="1:8" ht="15" customHeight="1">
      <c r="A177" s="627"/>
      <c r="B177" s="627"/>
      <c r="C177" s="393">
        <v>426</v>
      </c>
      <c r="D177" s="393">
        <v>0</v>
      </c>
      <c r="E177" s="401" t="s">
        <v>336</v>
      </c>
      <c r="F177" s="395"/>
      <c r="G177" s="395"/>
      <c r="H177" s="396" t="e">
        <f t="shared" si="2"/>
        <v>#DIV/0!</v>
      </c>
    </row>
    <row r="178" spans="1:8" ht="15" customHeight="1">
      <c r="A178" s="627"/>
      <c r="B178" s="627"/>
      <c r="C178" s="393">
        <v>427</v>
      </c>
      <c r="D178" s="393">
        <v>0</v>
      </c>
      <c r="E178" s="401" t="s">
        <v>337</v>
      </c>
      <c r="F178" s="395"/>
      <c r="G178" s="395"/>
      <c r="H178" s="396" t="e">
        <f t="shared" si="2"/>
        <v>#DIV/0!</v>
      </c>
    </row>
    <row r="179" spans="1:8" ht="15" customHeight="1">
      <c r="A179" s="627"/>
      <c r="B179" s="627"/>
      <c r="C179" s="393">
        <v>428</v>
      </c>
      <c r="D179" s="393">
        <v>0</v>
      </c>
      <c r="E179" s="401" t="s">
        <v>338</v>
      </c>
      <c r="F179" s="395"/>
      <c r="G179" s="395"/>
      <c r="H179" s="396" t="e">
        <f t="shared" si="2"/>
        <v>#DIV/0!</v>
      </c>
    </row>
    <row r="180" spans="1:8" ht="15" customHeight="1">
      <c r="A180" s="627"/>
      <c r="B180" s="627"/>
      <c r="C180" s="393">
        <v>430</v>
      </c>
      <c r="D180" s="393">
        <v>0</v>
      </c>
      <c r="E180" s="401" t="s">
        <v>324</v>
      </c>
      <c r="F180" s="395"/>
      <c r="G180" s="395"/>
      <c r="H180" s="396" t="e">
        <f t="shared" si="2"/>
        <v>#DIV/0!</v>
      </c>
    </row>
    <row r="181" spans="1:8" ht="15" customHeight="1">
      <c r="A181" s="627"/>
      <c r="B181" s="627"/>
      <c r="C181" s="393">
        <v>435</v>
      </c>
      <c r="D181" s="393">
        <v>0</v>
      </c>
      <c r="E181" s="401" t="s">
        <v>339</v>
      </c>
      <c r="F181" s="395"/>
      <c r="G181" s="395"/>
      <c r="H181" s="396" t="e">
        <f t="shared" si="2"/>
        <v>#DIV/0!</v>
      </c>
    </row>
    <row r="182" spans="1:8" ht="15" customHeight="1">
      <c r="A182" s="627"/>
      <c r="B182" s="627"/>
      <c r="C182" s="393">
        <v>436</v>
      </c>
      <c r="D182" s="393">
        <v>0</v>
      </c>
      <c r="E182" s="402" t="s">
        <v>340</v>
      </c>
      <c r="F182" s="395"/>
      <c r="G182" s="395"/>
      <c r="H182" s="396" t="e">
        <f t="shared" si="2"/>
        <v>#DIV/0!</v>
      </c>
    </row>
    <row r="183" spans="1:8" ht="15" customHeight="1">
      <c r="A183" s="627"/>
      <c r="B183" s="627"/>
      <c r="C183" s="393">
        <v>437</v>
      </c>
      <c r="D183" s="393">
        <v>0</v>
      </c>
      <c r="E183" s="402" t="s">
        <v>341</v>
      </c>
      <c r="F183" s="395"/>
      <c r="G183" s="395"/>
      <c r="H183" s="396" t="e">
        <f t="shared" si="2"/>
        <v>#DIV/0!</v>
      </c>
    </row>
    <row r="184" spans="1:8" ht="15" customHeight="1">
      <c r="A184" s="627"/>
      <c r="B184" s="627"/>
      <c r="C184" s="393">
        <v>441</v>
      </c>
      <c r="D184" s="393">
        <v>0</v>
      </c>
      <c r="E184" s="401" t="s">
        <v>342</v>
      </c>
      <c r="F184" s="395"/>
      <c r="G184" s="395"/>
      <c r="H184" s="396" t="e">
        <f t="shared" si="2"/>
        <v>#DIV/0!</v>
      </c>
    </row>
    <row r="185" spans="1:8" ht="15" customHeight="1">
      <c r="A185" s="627"/>
      <c r="B185" s="627"/>
      <c r="C185" s="393">
        <v>443</v>
      </c>
      <c r="D185" s="393">
        <v>0</v>
      </c>
      <c r="E185" s="401" t="s">
        <v>356</v>
      </c>
      <c r="F185" s="395"/>
      <c r="G185" s="395"/>
      <c r="H185" s="396" t="e">
        <f t="shared" si="2"/>
        <v>#DIV/0!</v>
      </c>
    </row>
    <row r="186" spans="1:8" ht="15" customHeight="1">
      <c r="A186" s="627"/>
      <c r="B186" s="627"/>
      <c r="C186" s="393">
        <v>444</v>
      </c>
      <c r="D186" s="393">
        <v>0</v>
      </c>
      <c r="E186" s="401" t="s">
        <v>343</v>
      </c>
      <c r="F186" s="395"/>
      <c r="G186" s="395"/>
      <c r="H186" s="396" t="e">
        <f t="shared" si="2"/>
        <v>#DIV/0!</v>
      </c>
    </row>
    <row r="187" spans="1:8" ht="15" customHeight="1">
      <c r="A187" s="627"/>
      <c r="B187" s="627"/>
      <c r="C187" s="393">
        <v>448</v>
      </c>
      <c r="D187" s="393">
        <v>0</v>
      </c>
      <c r="E187" s="401" t="s">
        <v>344</v>
      </c>
      <c r="F187" s="395"/>
      <c r="G187" s="395"/>
      <c r="H187" s="396" t="e">
        <f t="shared" si="2"/>
        <v>#DIV/0!</v>
      </c>
    </row>
    <row r="188" spans="1:8" ht="15" customHeight="1">
      <c r="A188" s="627"/>
      <c r="B188" s="627"/>
      <c r="C188" s="393">
        <v>450</v>
      </c>
      <c r="D188" s="393">
        <v>0</v>
      </c>
      <c r="E188" s="401" t="s">
        <v>374</v>
      </c>
      <c r="F188" s="395"/>
      <c r="G188" s="395"/>
      <c r="H188" s="396" t="e">
        <f t="shared" si="2"/>
        <v>#DIV/0!</v>
      </c>
    </row>
    <row r="189" spans="1:8" ht="15" customHeight="1">
      <c r="A189" s="627"/>
      <c r="B189" s="627"/>
      <c r="C189" s="393">
        <v>451</v>
      </c>
      <c r="D189" s="393">
        <v>0</v>
      </c>
      <c r="E189" s="401" t="s">
        <v>345</v>
      </c>
      <c r="F189" s="395"/>
      <c r="G189" s="395"/>
      <c r="H189" s="396" t="e">
        <f t="shared" si="2"/>
        <v>#DIV/0!</v>
      </c>
    </row>
    <row r="190" spans="1:8" ht="15" customHeight="1">
      <c r="A190" s="627"/>
      <c r="B190" s="627"/>
      <c r="C190" s="393">
        <v>461</v>
      </c>
      <c r="D190" s="393">
        <v>0</v>
      </c>
      <c r="E190" s="401" t="s">
        <v>347</v>
      </c>
      <c r="F190" s="395"/>
      <c r="G190" s="395"/>
      <c r="H190" s="396" t="e">
        <f t="shared" si="2"/>
        <v>#DIV/0!</v>
      </c>
    </row>
    <row r="191" spans="1:8" ht="15" customHeight="1">
      <c r="A191" s="627"/>
      <c r="B191" s="380">
        <v>75421</v>
      </c>
      <c r="C191" s="393"/>
      <c r="D191" s="393"/>
      <c r="E191" s="183" t="s">
        <v>164</v>
      </c>
      <c r="F191" s="395">
        <f>SUM(F192:F195)</f>
        <v>0</v>
      </c>
      <c r="G191" s="395">
        <f>SUM(G192:G195)</f>
        <v>0</v>
      </c>
      <c r="H191" s="396" t="e">
        <f t="shared" si="2"/>
        <v>#DIV/0!</v>
      </c>
    </row>
    <row r="192" spans="1:8" ht="15" customHeight="1">
      <c r="A192" s="627"/>
      <c r="B192" s="627"/>
      <c r="C192" s="393">
        <v>421</v>
      </c>
      <c r="D192" s="393">
        <v>0</v>
      </c>
      <c r="E192" s="401" t="s">
        <v>327</v>
      </c>
      <c r="F192" s="395"/>
      <c r="G192" s="395"/>
      <c r="H192" s="396" t="e">
        <f t="shared" si="2"/>
        <v>#DIV/0!</v>
      </c>
    </row>
    <row r="193" spans="1:8" ht="15" customHeight="1">
      <c r="A193" s="627"/>
      <c r="B193" s="627"/>
      <c r="C193" s="393">
        <v>427</v>
      </c>
      <c r="D193" s="393">
        <v>0</v>
      </c>
      <c r="E193" s="401" t="s">
        <v>337</v>
      </c>
      <c r="F193" s="395"/>
      <c r="G193" s="395"/>
      <c r="H193" s="396" t="e">
        <f t="shared" si="2"/>
        <v>#DIV/0!</v>
      </c>
    </row>
    <row r="194" spans="1:8" ht="15" customHeight="1">
      <c r="A194" s="627"/>
      <c r="B194" s="627"/>
      <c r="C194" s="393">
        <v>430</v>
      </c>
      <c r="D194" s="393">
        <v>0</v>
      </c>
      <c r="E194" s="401" t="s">
        <v>324</v>
      </c>
      <c r="F194" s="395"/>
      <c r="G194" s="395"/>
      <c r="H194" s="396" t="e">
        <f t="shared" si="2"/>
        <v>#DIV/0!</v>
      </c>
    </row>
    <row r="195" spans="1:8" ht="15" customHeight="1">
      <c r="A195" s="627"/>
      <c r="B195" s="627"/>
      <c r="C195" s="393">
        <v>481</v>
      </c>
      <c r="D195" s="393">
        <v>0</v>
      </c>
      <c r="E195" s="402" t="s">
        <v>364</v>
      </c>
      <c r="F195" s="395"/>
      <c r="G195" s="395"/>
      <c r="H195" s="396" t="e">
        <f t="shared" si="2"/>
        <v>#DIV/0!</v>
      </c>
    </row>
    <row r="196" spans="1:8" ht="15" customHeight="1">
      <c r="A196" s="387">
        <v>757</v>
      </c>
      <c r="B196" s="387"/>
      <c r="C196" s="388"/>
      <c r="D196" s="388"/>
      <c r="E196" s="407" t="s">
        <v>109</v>
      </c>
      <c r="F196" s="390">
        <f>F197</f>
        <v>0</v>
      </c>
      <c r="G196" s="390">
        <f>G197</f>
        <v>0</v>
      </c>
      <c r="H196" s="391" t="e">
        <f t="shared" si="2"/>
        <v>#DIV/0!</v>
      </c>
    </row>
    <row r="197" spans="1:8" ht="15" customHeight="1">
      <c r="A197" s="627"/>
      <c r="B197" s="380">
        <v>75702</v>
      </c>
      <c r="C197" s="393"/>
      <c r="D197" s="393"/>
      <c r="E197" s="183" t="s">
        <v>145</v>
      </c>
      <c r="F197" s="395">
        <f>SUM(F198:F199)</f>
        <v>0</v>
      </c>
      <c r="G197" s="395">
        <f>SUM(G198:G199)</f>
        <v>0</v>
      </c>
      <c r="H197" s="396" t="e">
        <f t="shared" si="2"/>
        <v>#DIV/0!</v>
      </c>
    </row>
    <row r="198" spans="1:8" ht="15" customHeight="1">
      <c r="A198" s="627"/>
      <c r="B198" s="627"/>
      <c r="C198" s="393">
        <v>801</v>
      </c>
      <c r="D198" s="393">
        <v>0</v>
      </c>
      <c r="E198" s="183" t="s">
        <v>375</v>
      </c>
      <c r="F198" s="395"/>
      <c r="G198" s="395"/>
      <c r="H198" s="396" t="e">
        <f t="shared" si="2"/>
        <v>#DIV/0!</v>
      </c>
    </row>
    <row r="199" spans="1:8" ht="15" customHeight="1">
      <c r="A199" s="627"/>
      <c r="B199" s="627"/>
      <c r="C199" s="393">
        <v>807</v>
      </c>
      <c r="D199" s="393">
        <v>0</v>
      </c>
      <c r="E199" s="402" t="s">
        <v>376</v>
      </c>
      <c r="F199" s="395"/>
      <c r="G199" s="395"/>
      <c r="H199" s="396" t="e">
        <f t="shared" si="2"/>
        <v>#DIV/0!</v>
      </c>
    </row>
    <row r="200" spans="1:8" ht="15" customHeight="1">
      <c r="A200" s="387">
        <v>758</v>
      </c>
      <c r="B200" s="387"/>
      <c r="C200" s="388"/>
      <c r="D200" s="388"/>
      <c r="E200" s="409" t="s">
        <v>33</v>
      </c>
      <c r="F200" s="390">
        <f>F201</f>
        <v>0</v>
      </c>
      <c r="G200" s="390">
        <f>G201</f>
        <v>0</v>
      </c>
      <c r="H200" s="396" t="e">
        <f t="shared" si="2"/>
        <v>#DIV/0!</v>
      </c>
    </row>
    <row r="201" spans="1:8" ht="15" customHeight="1">
      <c r="A201" s="629"/>
      <c r="B201" s="380">
        <v>75818</v>
      </c>
      <c r="C201" s="393"/>
      <c r="D201" s="393"/>
      <c r="E201" s="402" t="s">
        <v>300</v>
      </c>
      <c r="F201" s="395">
        <f>F202</f>
        <v>0</v>
      </c>
      <c r="G201" s="395">
        <f>G202</f>
        <v>0</v>
      </c>
      <c r="H201" s="396" t="e">
        <f t="shared" si="2"/>
        <v>#DIV/0!</v>
      </c>
    </row>
    <row r="202" spans="1:8" ht="15" customHeight="1">
      <c r="A202" s="631"/>
      <c r="B202" s="380"/>
      <c r="C202" s="393">
        <v>481</v>
      </c>
      <c r="D202" s="393">
        <v>0</v>
      </c>
      <c r="E202" s="402" t="s">
        <v>364</v>
      </c>
      <c r="F202" s="395"/>
      <c r="G202" s="395"/>
      <c r="H202" s="396" t="e">
        <f t="shared" si="2"/>
        <v>#DIV/0!</v>
      </c>
    </row>
    <row r="203" spans="1:8" ht="15" customHeight="1">
      <c r="A203" s="387">
        <v>801</v>
      </c>
      <c r="B203" s="387"/>
      <c r="C203" s="388"/>
      <c r="D203" s="388"/>
      <c r="E203" s="407" t="s">
        <v>54</v>
      </c>
      <c r="F203" s="390">
        <f>F204+F225+F239+F266+F268+F299+F314+F321+F328+F338</f>
        <v>0</v>
      </c>
      <c r="G203" s="390">
        <f>G204+G225+G239+G266+G268+G299+G314+G321+G328+G338</f>
        <v>0</v>
      </c>
      <c r="H203" s="391" t="e">
        <f t="shared" si="2"/>
        <v>#DIV/0!</v>
      </c>
    </row>
    <row r="204" spans="1:8" ht="15" customHeight="1">
      <c r="A204" s="627"/>
      <c r="B204" s="380">
        <v>80102</v>
      </c>
      <c r="C204" s="393"/>
      <c r="D204" s="393"/>
      <c r="E204" s="183" t="s">
        <v>41</v>
      </c>
      <c r="F204" s="395">
        <f>SUM(F205:F224)</f>
        <v>0</v>
      </c>
      <c r="G204" s="395">
        <f>SUM(G205:G224)</f>
        <v>0</v>
      </c>
      <c r="H204" s="396" t="e">
        <f t="shared" si="2"/>
        <v>#DIV/0!</v>
      </c>
    </row>
    <row r="205" spans="1:8" ht="15" customHeight="1">
      <c r="A205" s="627"/>
      <c r="B205" s="627"/>
      <c r="C205" s="393">
        <v>302</v>
      </c>
      <c r="D205" s="393">
        <v>0</v>
      </c>
      <c r="E205" s="401" t="s">
        <v>330</v>
      </c>
      <c r="F205" s="395"/>
      <c r="G205" s="395"/>
      <c r="H205" s="396" t="e">
        <f t="shared" si="2"/>
        <v>#DIV/0!</v>
      </c>
    </row>
    <row r="206" spans="1:8" ht="15" customHeight="1">
      <c r="A206" s="627"/>
      <c r="B206" s="627"/>
      <c r="C206" s="393">
        <v>401</v>
      </c>
      <c r="D206" s="393">
        <v>0</v>
      </c>
      <c r="E206" s="401" t="s">
        <v>331</v>
      </c>
      <c r="F206" s="395"/>
      <c r="G206" s="395"/>
      <c r="H206" s="396" t="e">
        <f t="shared" si="2"/>
        <v>#DIV/0!</v>
      </c>
    </row>
    <row r="207" spans="1:8" ht="15" customHeight="1">
      <c r="A207" s="627"/>
      <c r="B207" s="627"/>
      <c r="C207" s="393">
        <v>404</v>
      </c>
      <c r="D207" s="393">
        <v>0</v>
      </c>
      <c r="E207" s="401" t="s">
        <v>332</v>
      </c>
      <c r="F207" s="395"/>
      <c r="G207" s="395"/>
      <c r="H207" s="396" t="e">
        <f t="shared" ref="H207:H270" si="3">G207/F207*100</f>
        <v>#DIV/0!</v>
      </c>
    </row>
    <row r="208" spans="1:8" ht="15" customHeight="1">
      <c r="A208" s="627"/>
      <c r="B208" s="627"/>
      <c r="C208" s="393">
        <v>411</v>
      </c>
      <c r="D208" s="393">
        <v>0</v>
      </c>
      <c r="E208" s="401" t="s">
        <v>333</v>
      </c>
      <c r="F208" s="395"/>
      <c r="G208" s="395"/>
      <c r="H208" s="396" t="e">
        <f t="shared" si="3"/>
        <v>#DIV/0!</v>
      </c>
    </row>
    <row r="209" spans="1:8" ht="15" customHeight="1">
      <c r="A209" s="627"/>
      <c r="B209" s="627"/>
      <c r="C209" s="393">
        <v>412</v>
      </c>
      <c r="D209" s="393">
        <v>0</v>
      </c>
      <c r="E209" s="401" t="s">
        <v>334</v>
      </c>
      <c r="F209" s="395"/>
      <c r="G209" s="395"/>
      <c r="H209" s="396" t="e">
        <f t="shared" si="3"/>
        <v>#DIV/0!</v>
      </c>
    </row>
    <row r="210" spans="1:8" ht="15" customHeight="1">
      <c r="A210" s="627"/>
      <c r="B210" s="627"/>
      <c r="C210" s="393">
        <v>417</v>
      </c>
      <c r="D210" s="393">
        <v>0</v>
      </c>
      <c r="E210" s="401" t="s">
        <v>335</v>
      </c>
      <c r="F210" s="395"/>
      <c r="G210" s="395"/>
      <c r="H210" s="396" t="e">
        <f t="shared" si="3"/>
        <v>#DIV/0!</v>
      </c>
    </row>
    <row r="211" spans="1:8" ht="15" customHeight="1">
      <c r="A211" s="627"/>
      <c r="B211" s="627"/>
      <c r="C211" s="393">
        <v>421</v>
      </c>
      <c r="D211" s="393">
        <v>0</v>
      </c>
      <c r="E211" s="401" t="s">
        <v>327</v>
      </c>
      <c r="F211" s="395"/>
      <c r="G211" s="395"/>
      <c r="H211" s="396" t="e">
        <f t="shared" si="3"/>
        <v>#DIV/0!</v>
      </c>
    </row>
    <row r="212" spans="1:8" ht="15" customHeight="1">
      <c r="A212" s="627"/>
      <c r="B212" s="627"/>
      <c r="C212" s="393">
        <v>424</v>
      </c>
      <c r="D212" s="393">
        <v>0</v>
      </c>
      <c r="E212" s="401" t="s">
        <v>358</v>
      </c>
      <c r="F212" s="395"/>
      <c r="G212" s="395"/>
      <c r="H212" s="396" t="e">
        <f t="shared" si="3"/>
        <v>#DIV/0!</v>
      </c>
    </row>
    <row r="213" spans="1:8" ht="15" customHeight="1">
      <c r="A213" s="627"/>
      <c r="B213" s="627"/>
      <c r="C213" s="393">
        <v>426</v>
      </c>
      <c r="D213" s="393">
        <v>0</v>
      </c>
      <c r="E213" s="401" t="s">
        <v>336</v>
      </c>
      <c r="F213" s="395"/>
      <c r="G213" s="395"/>
      <c r="H213" s="396" t="e">
        <f t="shared" si="3"/>
        <v>#DIV/0!</v>
      </c>
    </row>
    <row r="214" spans="1:8" ht="15" customHeight="1">
      <c r="A214" s="627"/>
      <c r="B214" s="627"/>
      <c r="C214" s="393">
        <v>427</v>
      </c>
      <c r="D214" s="393">
        <v>0</v>
      </c>
      <c r="E214" s="401" t="s">
        <v>337</v>
      </c>
      <c r="F214" s="395"/>
      <c r="G214" s="395"/>
      <c r="H214" s="396" t="e">
        <f t="shared" si="3"/>
        <v>#DIV/0!</v>
      </c>
    </row>
    <row r="215" spans="1:8" ht="15" customHeight="1">
      <c r="A215" s="627"/>
      <c r="B215" s="627"/>
      <c r="C215" s="393">
        <v>428</v>
      </c>
      <c r="D215" s="393">
        <v>0</v>
      </c>
      <c r="E215" s="401" t="s">
        <v>338</v>
      </c>
      <c r="F215" s="395"/>
      <c r="G215" s="395"/>
      <c r="H215" s="396" t="e">
        <f t="shared" si="3"/>
        <v>#DIV/0!</v>
      </c>
    </row>
    <row r="216" spans="1:8" ht="15" customHeight="1">
      <c r="A216" s="627"/>
      <c r="B216" s="627"/>
      <c r="C216" s="393">
        <v>430</v>
      </c>
      <c r="D216" s="393">
        <v>0</v>
      </c>
      <c r="E216" s="401" t="s">
        <v>324</v>
      </c>
      <c r="F216" s="395"/>
      <c r="G216" s="395"/>
      <c r="H216" s="396" t="e">
        <f t="shared" si="3"/>
        <v>#DIV/0!</v>
      </c>
    </row>
    <row r="217" spans="1:8" ht="15" customHeight="1">
      <c r="A217" s="627"/>
      <c r="B217" s="627"/>
      <c r="C217" s="393">
        <v>435</v>
      </c>
      <c r="D217" s="393">
        <v>0</v>
      </c>
      <c r="E217" s="401" t="s">
        <v>339</v>
      </c>
      <c r="F217" s="395"/>
      <c r="G217" s="395"/>
      <c r="H217" s="396" t="e">
        <f t="shared" si="3"/>
        <v>#DIV/0!</v>
      </c>
    </row>
    <row r="218" spans="1:8" ht="15" customHeight="1">
      <c r="A218" s="627"/>
      <c r="B218" s="627"/>
      <c r="C218" s="393">
        <v>437</v>
      </c>
      <c r="D218" s="393">
        <v>0</v>
      </c>
      <c r="E218" s="402" t="s">
        <v>341</v>
      </c>
      <c r="F218" s="395"/>
      <c r="G218" s="395"/>
      <c r="H218" s="396" t="e">
        <f t="shared" si="3"/>
        <v>#DIV/0!</v>
      </c>
    </row>
    <row r="219" spans="1:8" ht="15" customHeight="1">
      <c r="A219" s="627"/>
      <c r="B219" s="627"/>
      <c r="C219" s="393">
        <v>441</v>
      </c>
      <c r="D219" s="393">
        <v>0</v>
      </c>
      <c r="E219" s="401" t="s">
        <v>342</v>
      </c>
      <c r="F219" s="395"/>
      <c r="G219" s="395"/>
      <c r="H219" s="396" t="e">
        <f t="shared" si="3"/>
        <v>#DIV/0!</v>
      </c>
    </row>
    <row r="220" spans="1:8" ht="15" customHeight="1">
      <c r="A220" s="627"/>
      <c r="B220" s="627"/>
      <c r="C220" s="393">
        <v>444</v>
      </c>
      <c r="D220" s="393">
        <v>0</v>
      </c>
      <c r="E220" s="401" t="s">
        <v>343</v>
      </c>
      <c r="F220" s="395"/>
      <c r="G220" s="395"/>
      <c r="H220" s="396" t="e">
        <f t="shared" si="3"/>
        <v>#DIV/0!</v>
      </c>
    </row>
    <row r="221" spans="1:8" ht="15" customHeight="1">
      <c r="A221" s="627"/>
      <c r="B221" s="627"/>
      <c r="C221" s="393">
        <v>448</v>
      </c>
      <c r="D221" s="393">
        <v>0</v>
      </c>
      <c r="E221" s="401" t="s">
        <v>344</v>
      </c>
      <c r="F221" s="395"/>
      <c r="G221" s="395"/>
      <c r="H221" s="396" t="e">
        <f t="shared" si="3"/>
        <v>#DIV/0!</v>
      </c>
    </row>
    <row r="222" spans="1:8" ht="15" customHeight="1">
      <c r="A222" s="627"/>
      <c r="B222" s="627"/>
      <c r="C222" s="393">
        <v>458</v>
      </c>
      <c r="D222" s="393">
        <v>0</v>
      </c>
      <c r="E222" s="406" t="s">
        <v>59</v>
      </c>
      <c r="F222" s="395"/>
      <c r="G222" s="395"/>
      <c r="H222" s="396" t="e">
        <f t="shared" si="3"/>
        <v>#DIV/0!</v>
      </c>
    </row>
    <row r="223" spans="1:8" ht="15" customHeight="1">
      <c r="A223" s="627"/>
      <c r="B223" s="627"/>
      <c r="C223" s="393">
        <v>470</v>
      </c>
      <c r="D223" s="393">
        <v>0</v>
      </c>
      <c r="E223" s="402" t="s">
        <v>348</v>
      </c>
      <c r="F223" s="395"/>
      <c r="G223" s="395"/>
      <c r="H223" s="396" t="e">
        <f t="shared" si="3"/>
        <v>#DIV/0!</v>
      </c>
    </row>
    <row r="224" spans="1:8" ht="15" customHeight="1">
      <c r="A224" s="627"/>
      <c r="B224" s="627"/>
      <c r="C224" s="393">
        <v>605</v>
      </c>
      <c r="D224" s="393">
        <v>0</v>
      </c>
      <c r="E224" s="402" t="s">
        <v>349</v>
      </c>
      <c r="F224" s="395"/>
      <c r="G224" s="395"/>
      <c r="H224" s="396" t="e">
        <f t="shared" si="3"/>
        <v>#DIV/0!</v>
      </c>
    </row>
    <row r="225" spans="1:8" ht="15" customHeight="1">
      <c r="A225" s="627"/>
      <c r="B225" s="380">
        <v>80111</v>
      </c>
      <c r="C225" s="393"/>
      <c r="D225" s="393"/>
      <c r="E225" s="183" t="s">
        <v>111</v>
      </c>
      <c r="F225" s="395">
        <f>SUM(F226:F238)</f>
        <v>0</v>
      </c>
      <c r="G225" s="395">
        <f>SUM(G226:G238)</f>
        <v>0</v>
      </c>
      <c r="H225" s="396" t="e">
        <f t="shared" si="3"/>
        <v>#DIV/0!</v>
      </c>
    </row>
    <row r="226" spans="1:8" ht="15" customHeight="1">
      <c r="A226" s="627"/>
      <c r="B226" s="627"/>
      <c r="C226" s="393">
        <v>302</v>
      </c>
      <c r="D226" s="393">
        <v>0</v>
      </c>
      <c r="E226" s="401" t="s">
        <v>330</v>
      </c>
      <c r="F226" s="395"/>
      <c r="G226" s="395"/>
      <c r="H226" s="396" t="e">
        <f t="shared" si="3"/>
        <v>#DIV/0!</v>
      </c>
    </row>
    <row r="227" spans="1:8" ht="15" customHeight="1">
      <c r="A227" s="627"/>
      <c r="B227" s="627"/>
      <c r="C227" s="393">
        <v>401</v>
      </c>
      <c r="D227" s="393">
        <v>0</v>
      </c>
      <c r="E227" s="401" t="s">
        <v>331</v>
      </c>
      <c r="F227" s="395"/>
      <c r="G227" s="395"/>
      <c r="H227" s="396" t="e">
        <f t="shared" si="3"/>
        <v>#DIV/0!</v>
      </c>
    </row>
    <row r="228" spans="1:8" ht="15" customHeight="1">
      <c r="A228" s="627"/>
      <c r="B228" s="627"/>
      <c r="C228" s="393">
        <v>404</v>
      </c>
      <c r="D228" s="393">
        <v>0</v>
      </c>
      <c r="E228" s="401" t="s">
        <v>332</v>
      </c>
      <c r="F228" s="395"/>
      <c r="G228" s="395"/>
      <c r="H228" s="396" t="e">
        <f t="shared" si="3"/>
        <v>#DIV/0!</v>
      </c>
    </row>
    <row r="229" spans="1:8" ht="15" customHeight="1">
      <c r="A229" s="627"/>
      <c r="B229" s="627"/>
      <c r="C229" s="393">
        <v>411</v>
      </c>
      <c r="D229" s="393">
        <v>0</v>
      </c>
      <c r="E229" s="401" t="s">
        <v>333</v>
      </c>
      <c r="F229" s="395"/>
      <c r="G229" s="395"/>
      <c r="H229" s="396" t="e">
        <f t="shared" si="3"/>
        <v>#DIV/0!</v>
      </c>
    </row>
    <row r="230" spans="1:8" ht="15" customHeight="1">
      <c r="A230" s="627"/>
      <c r="B230" s="627"/>
      <c r="C230" s="393">
        <v>412</v>
      </c>
      <c r="D230" s="393">
        <v>0</v>
      </c>
      <c r="E230" s="401" t="s">
        <v>334</v>
      </c>
      <c r="F230" s="395"/>
      <c r="G230" s="395"/>
      <c r="H230" s="396" t="e">
        <f t="shared" si="3"/>
        <v>#DIV/0!</v>
      </c>
    </row>
    <row r="231" spans="1:8" ht="15" customHeight="1">
      <c r="A231" s="627"/>
      <c r="B231" s="627"/>
      <c r="C231" s="393">
        <v>424</v>
      </c>
      <c r="D231" s="393">
        <v>0</v>
      </c>
      <c r="E231" s="401" t="s">
        <v>358</v>
      </c>
      <c r="F231" s="395"/>
      <c r="G231" s="395"/>
      <c r="H231" s="396" t="e">
        <f t="shared" si="3"/>
        <v>#DIV/0!</v>
      </c>
    </row>
    <row r="232" spans="1:8" ht="15" customHeight="1">
      <c r="A232" s="627"/>
      <c r="B232" s="627"/>
      <c r="C232" s="393">
        <v>427</v>
      </c>
      <c r="D232" s="393">
        <v>0</v>
      </c>
      <c r="E232" s="401" t="s">
        <v>337</v>
      </c>
      <c r="F232" s="395"/>
      <c r="G232" s="395"/>
      <c r="H232" s="396" t="e">
        <f t="shared" si="3"/>
        <v>#DIV/0!</v>
      </c>
    </row>
    <row r="233" spans="1:8" ht="15" customHeight="1">
      <c r="A233" s="627"/>
      <c r="B233" s="627"/>
      <c r="C233" s="393">
        <v>428</v>
      </c>
      <c r="D233" s="393">
        <v>0</v>
      </c>
      <c r="E233" s="401" t="s">
        <v>338</v>
      </c>
      <c r="F233" s="395"/>
      <c r="G233" s="395"/>
      <c r="H233" s="396" t="e">
        <f t="shared" si="3"/>
        <v>#DIV/0!</v>
      </c>
    </row>
    <row r="234" spans="1:8" ht="15" customHeight="1">
      <c r="A234" s="627"/>
      <c r="B234" s="627"/>
      <c r="C234" s="393">
        <v>430</v>
      </c>
      <c r="D234" s="393">
        <v>0</v>
      </c>
      <c r="E234" s="401" t="s">
        <v>324</v>
      </c>
      <c r="F234" s="395"/>
      <c r="G234" s="395"/>
      <c r="H234" s="396" t="e">
        <f t="shared" si="3"/>
        <v>#DIV/0!</v>
      </c>
    </row>
    <row r="235" spans="1:8" ht="15" customHeight="1">
      <c r="A235" s="627"/>
      <c r="B235" s="627"/>
      <c r="C235" s="393">
        <v>444</v>
      </c>
      <c r="D235" s="393">
        <v>0</v>
      </c>
      <c r="E235" s="401" t="s">
        <v>343</v>
      </c>
      <c r="F235" s="395"/>
      <c r="G235" s="395"/>
      <c r="H235" s="396" t="e">
        <f t="shared" si="3"/>
        <v>#DIV/0!</v>
      </c>
    </row>
    <row r="236" spans="1:8" ht="15" customHeight="1">
      <c r="A236" s="627"/>
      <c r="B236" s="627"/>
      <c r="C236" s="393">
        <v>605</v>
      </c>
      <c r="D236" s="393">
        <v>0</v>
      </c>
      <c r="E236" s="402" t="s">
        <v>349</v>
      </c>
      <c r="F236" s="395"/>
      <c r="G236" s="395"/>
      <c r="H236" s="396" t="e">
        <f t="shared" si="3"/>
        <v>#DIV/0!</v>
      </c>
    </row>
    <row r="237" spans="1:8" ht="15" customHeight="1">
      <c r="A237" s="627"/>
      <c r="B237" s="627"/>
      <c r="C237" s="393">
        <v>605</v>
      </c>
      <c r="D237" s="393">
        <v>7</v>
      </c>
      <c r="E237" s="402" t="s">
        <v>349</v>
      </c>
      <c r="F237" s="395"/>
      <c r="G237" s="395"/>
      <c r="H237" s="396" t="e">
        <f t="shared" si="3"/>
        <v>#DIV/0!</v>
      </c>
    </row>
    <row r="238" spans="1:8" ht="15" customHeight="1">
      <c r="A238" s="627"/>
      <c r="B238" s="627"/>
      <c r="C238" s="393">
        <v>605</v>
      </c>
      <c r="D238" s="393">
        <v>9</v>
      </c>
      <c r="E238" s="402" t="s">
        <v>349</v>
      </c>
      <c r="F238" s="395"/>
      <c r="G238" s="395"/>
      <c r="H238" s="396" t="e">
        <f t="shared" si="3"/>
        <v>#DIV/0!</v>
      </c>
    </row>
    <row r="239" spans="1:8" ht="15" customHeight="1">
      <c r="A239" s="627"/>
      <c r="B239" s="380">
        <v>80120</v>
      </c>
      <c r="C239" s="393"/>
      <c r="D239" s="393"/>
      <c r="E239" s="183" t="s">
        <v>47</v>
      </c>
      <c r="F239" s="395">
        <f>SUM(F240:F265)</f>
        <v>0</v>
      </c>
      <c r="G239" s="395">
        <f>SUM(G240:G265)</f>
        <v>0</v>
      </c>
      <c r="H239" s="396" t="e">
        <f t="shared" si="3"/>
        <v>#DIV/0!</v>
      </c>
    </row>
    <row r="240" spans="1:8" ht="15" customHeight="1">
      <c r="A240" s="627"/>
      <c r="B240" s="627"/>
      <c r="C240" s="393">
        <v>254</v>
      </c>
      <c r="D240" s="393">
        <v>0</v>
      </c>
      <c r="E240" s="402" t="s">
        <v>377</v>
      </c>
      <c r="F240" s="395"/>
      <c r="G240" s="395"/>
      <c r="H240" s="396" t="e">
        <f t="shared" si="3"/>
        <v>#DIV/0!</v>
      </c>
    </row>
    <row r="241" spans="1:8" ht="15" customHeight="1">
      <c r="A241" s="627"/>
      <c r="B241" s="627"/>
      <c r="C241" s="393">
        <v>302</v>
      </c>
      <c r="D241" s="393">
        <v>0</v>
      </c>
      <c r="E241" s="401" t="s">
        <v>330</v>
      </c>
      <c r="F241" s="395"/>
      <c r="G241" s="395"/>
      <c r="H241" s="396" t="e">
        <f t="shared" si="3"/>
        <v>#DIV/0!</v>
      </c>
    </row>
    <row r="242" spans="1:8" ht="15" customHeight="1">
      <c r="A242" s="627"/>
      <c r="B242" s="627"/>
      <c r="C242" s="393">
        <v>401</v>
      </c>
      <c r="D242" s="393">
        <v>0</v>
      </c>
      <c r="E242" s="401" t="s">
        <v>331</v>
      </c>
      <c r="F242" s="395"/>
      <c r="G242" s="395"/>
      <c r="H242" s="396" t="e">
        <f t="shared" si="3"/>
        <v>#DIV/0!</v>
      </c>
    </row>
    <row r="243" spans="1:8" ht="15" customHeight="1">
      <c r="A243" s="627"/>
      <c r="B243" s="627"/>
      <c r="C243" s="393">
        <v>404</v>
      </c>
      <c r="D243" s="393">
        <v>0</v>
      </c>
      <c r="E243" s="401" t="s">
        <v>332</v>
      </c>
      <c r="F243" s="395"/>
      <c r="G243" s="395"/>
      <c r="H243" s="396" t="e">
        <f t="shared" si="3"/>
        <v>#DIV/0!</v>
      </c>
    </row>
    <row r="244" spans="1:8" ht="15" customHeight="1">
      <c r="A244" s="627"/>
      <c r="B244" s="627"/>
      <c r="C244" s="393">
        <v>411</v>
      </c>
      <c r="D244" s="393">
        <v>0</v>
      </c>
      <c r="E244" s="401" t="s">
        <v>333</v>
      </c>
      <c r="F244" s="395"/>
      <c r="G244" s="395"/>
      <c r="H244" s="396" t="e">
        <f t="shared" si="3"/>
        <v>#DIV/0!</v>
      </c>
    </row>
    <row r="245" spans="1:8" ht="15" customHeight="1">
      <c r="A245" s="627"/>
      <c r="B245" s="627"/>
      <c r="C245" s="393">
        <v>412</v>
      </c>
      <c r="D245" s="393">
        <v>0</v>
      </c>
      <c r="E245" s="401" t="s">
        <v>334</v>
      </c>
      <c r="F245" s="395"/>
      <c r="G245" s="395"/>
      <c r="H245" s="396" t="e">
        <f t="shared" si="3"/>
        <v>#DIV/0!</v>
      </c>
    </row>
    <row r="246" spans="1:8" ht="15" customHeight="1">
      <c r="A246" s="627"/>
      <c r="B246" s="627"/>
      <c r="C246" s="393">
        <v>414</v>
      </c>
      <c r="D246" s="393">
        <v>0</v>
      </c>
      <c r="E246" s="404" t="s">
        <v>357</v>
      </c>
      <c r="F246" s="395"/>
      <c r="G246" s="395"/>
      <c r="H246" s="396" t="e">
        <f t="shared" si="3"/>
        <v>#DIV/0!</v>
      </c>
    </row>
    <row r="247" spans="1:8" ht="15" customHeight="1">
      <c r="A247" s="627"/>
      <c r="B247" s="627"/>
      <c r="C247" s="393">
        <v>417</v>
      </c>
      <c r="D247" s="393">
        <v>0</v>
      </c>
      <c r="E247" s="401" t="s">
        <v>335</v>
      </c>
      <c r="F247" s="395"/>
      <c r="G247" s="395"/>
      <c r="H247" s="396" t="e">
        <f t="shared" si="3"/>
        <v>#DIV/0!</v>
      </c>
    </row>
    <row r="248" spans="1:8" ht="15" customHeight="1">
      <c r="A248" s="627"/>
      <c r="B248" s="627"/>
      <c r="C248" s="393">
        <v>421</v>
      </c>
      <c r="D248" s="393">
        <v>0</v>
      </c>
      <c r="E248" s="401" t="s">
        <v>327</v>
      </c>
      <c r="F248" s="395"/>
      <c r="G248" s="395"/>
      <c r="H248" s="396" t="e">
        <f t="shared" si="3"/>
        <v>#DIV/0!</v>
      </c>
    </row>
    <row r="249" spans="1:8" ht="15" customHeight="1">
      <c r="A249" s="627"/>
      <c r="B249" s="627"/>
      <c r="C249" s="393">
        <v>424</v>
      </c>
      <c r="D249" s="393">
        <v>0</v>
      </c>
      <c r="E249" s="401" t="s">
        <v>358</v>
      </c>
      <c r="F249" s="395"/>
      <c r="G249" s="395"/>
      <c r="H249" s="396" t="e">
        <f t="shared" si="3"/>
        <v>#DIV/0!</v>
      </c>
    </row>
    <row r="250" spans="1:8" ht="15" customHeight="1">
      <c r="A250" s="627"/>
      <c r="B250" s="627"/>
      <c r="C250" s="393">
        <v>426</v>
      </c>
      <c r="D250" s="393">
        <v>0</v>
      </c>
      <c r="E250" s="401" t="s">
        <v>336</v>
      </c>
      <c r="F250" s="395"/>
      <c r="G250" s="395"/>
      <c r="H250" s="396" t="e">
        <f t="shared" si="3"/>
        <v>#DIV/0!</v>
      </c>
    </row>
    <row r="251" spans="1:8" ht="15" customHeight="1">
      <c r="A251" s="627"/>
      <c r="B251" s="627"/>
      <c r="C251" s="393">
        <v>427</v>
      </c>
      <c r="D251" s="393">
        <v>0</v>
      </c>
      <c r="E251" s="401" t="s">
        <v>337</v>
      </c>
      <c r="F251" s="395"/>
      <c r="G251" s="395"/>
      <c r="H251" s="396" t="e">
        <f t="shared" si="3"/>
        <v>#DIV/0!</v>
      </c>
    </row>
    <row r="252" spans="1:8" ht="15" customHeight="1">
      <c r="A252" s="627"/>
      <c r="B252" s="627"/>
      <c r="C252" s="393">
        <v>428</v>
      </c>
      <c r="D252" s="393">
        <v>0</v>
      </c>
      <c r="E252" s="401" t="s">
        <v>338</v>
      </c>
      <c r="F252" s="395"/>
      <c r="G252" s="395"/>
      <c r="H252" s="396" t="e">
        <f t="shared" si="3"/>
        <v>#DIV/0!</v>
      </c>
    </row>
    <row r="253" spans="1:8" ht="15" customHeight="1">
      <c r="A253" s="627"/>
      <c r="B253" s="627"/>
      <c r="C253" s="393">
        <v>430</v>
      </c>
      <c r="D253" s="393">
        <v>0</v>
      </c>
      <c r="E253" s="401" t="s">
        <v>324</v>
      </c>
      <c r="F253" s="395"/>
      <c r="G253" s="395"/>
      <c r="H253" s="396" t="e">
        <f t="shared" si="3"/>
        <v>#DIV/0!</v>
      </c>
    </row>
    <row r="254" spans="1:8" ht="15" customHeight="1">
      <c r="A254" s="627"/>
      <c r="B254" s="627"/>
      <c r="C254" s="393">
        <v>435</v>
      </c>
      <c r="D254" s="393">
        <v>0</v>
      </c>
      <c r="E254" s="401" t="s">
        <v>339</v>
      </c>
      <c r="F254" s="395"/>
      <c r="G254" s="395"/>
      <c r="H254" s="396" t="e">
        <f t="shared" si="3"/>
        <v>#DIV/0!</v>
      </c>
    </row>
    <row r="255" spans="1:8" ht="15" customHeight="1">
      <c r="A255" s="627"/>
      <c r="B255" s="627"/>
      <c r="C255" s="393">
        <v>436</v>
      </c>
      <c r="D255" s="393">
        <v>0</v>
      </c>
      <c r="E255" s="402" t="s">
        <v>340</v>
      </c>
      <c r="F255" s="395"/>
      <c r="G255" s="395"/>
      <c r="H255" s="396" t="e">
        <f t="shared" si="3"/>
        <v>#DIV/0!</v>
      </c>
    </row>
    <row r="256" spans="1:8" ht="15" customHeight="1">
      <c r="A256" s="627"/>
      <c r="B256" s="627"/>
      <c r="C256" s="393">
        <v>437</v>
      </c>
      <c r="D256" s="393">
        <v>0</v>
      </c>
      <c r="E256" s="402" t="s">
        <v>341</v>
      </c>
      <c r="F256" s="395"/>
      <c r="G256" s="395"/>
      <c r="H256" s="396" t="e">
        <f t="shared" si="3"/>
        <v>#DIV/0!</v>
      </c>
    </row>
    <row r="257" spans="1:8" ht="15" customHeight="1">
      <c r="A257" s="627"/>
      <c r="B257" s="627"/>
      <c r="C257" s="393">
        <v>441</v>
      </c>
      <c r="D257" s="393">
        <v>0</v>
      </c>
      <c r="E257" s="401" t="s">
        <v>342</v>
      </c>
      <c r="F257" s="395"/>
      <c r="G257" s="395"/>
      <c r="H257" s="396" t="e">
        <f t="shared" si="3"/>
        <v>#DIV/0!</v>
      </c>
    </row>
    <row r="258" spans="1:8" ht="15" customHeight="1">
      <c r="A258" s="627"/>
      <c r="B258" s="627"/>
      <c r="C258" s="393">
        <v>442</v>
      </c>
      <c r="D258" s="393">
        <v>0</v>
      </c>
      <c r="E258" s="402" t="s">
        <v>360</v>
      </c>
      <c r="F258" s="395"/>
      <c r="G258" s="395"/>
      <c r="H258" s="396" t="e">
        <f t="shared" si="3"/>
        <v>#DIV/0!</v>
      </c>
    </row>
    <row r="259" spans="1:8" ht="15" customHeight="1">
      <c r="A259" s="627"/>
      <c r="B259" s="627"/>
      <c r="C259" s="393">
        <v>444</v>
      </c>
      <c r="D259" s="393">
        <v>0</v>
      </c>
      <c r="E259" s="401" t="s">
        <v>343</v>
      </c>
      <c r="F259" s="395"/>
      <c r="G259" s="395"/>
      <c r="H259" s="396" t="e">
        <f t="shared" si="3"/>
        <v>#DIV/0!</v>
      </c>
    </row>
    <row r="260" spans="1:8" ht="15" customHeight="1">
      <c r="A260" s="627"/>
      <c r="B260" s="627"/>
      <c r="C260" s="393">
        <v>451</v>
      </c>
      <c r="D260" s="393">
        <v>0</v>
      </c>
      <c r="E260" s="402" t="s">
        <v>345</v>
      </c>
      <c r="F260" s="395"/>
      <c r="G260" s="395"/>
      <c r="H260" s="396" t="e">
        <f t="shared" si="3"/>
        <v>#DIV/0!</v>
      </c>
    </row>
    <row r="261" spans="1:8" ht="15" customHeight="1">
      <c r="A261" s="627"/>
      <c r="B261" s="627"/>
      <c r="C261" s="393">
        <v>470</v>
      </c>
      <c r="D261" s="393">
        <v>0</v>
      </c>
      <c r="E261" s="402" t="s">
        <v>348</v>
      </c>
      <c r="F261" s="395"/>
      <c r="G261" s="395"/>
      <c r="H261" s="396" t="e">
        <f t="shared" si="3"/>
        <v>#DIV/0!</v>
      </c>
    </row>
    <row r="262" spans="1:8" ht="15" customHeight="1">
      <c r="A262" s="627"/>
      <c r="B262" s="627"/>
      <c r="C262" s="393">
        <v>605</v>
      </c>
      <c r="D262" s="393">
        <v>0</v>
      </c>
      <c r="E262" s="402" t="s">
        <v>378</v>
      </c>
      <c r="F262" s="395"/>
      <c r="G262" s="395"/>
      <c r="H262" s="396" t="e">
        <f t="shared" si="3"/>
        <v>#DIV/0!</v>
      </c>
    </row>
    <row r="263" spans="1:8" ht="15" customHeight="1">
      <c r="A263" s="627"/>
      <c r="B263" s="627"/>
      <c r="C263" s="393">
        <v>605</v>
      </c>
      <c r="D263" s="393">
        <v>7</v>
      </c>
      <c r="E263" s="402" t="s">
        <v>349</v>
      </c>
      <c r="F263" s="395"/>
      <c r="G263" s="395"/>
      <c r="H263" s="396" t="e">
        <f t="shared" si="3"/>
        <v>#DIV/0!</v>
      </c>
    </row>
    <row r="264" spans="1:8" ht="15" customHeight="1">
      <c r="A264" s="627"/>
      <c r="B264" s="627"/>
      <c r="C264" s="393">
        <v>605</v>
      </c>
      <c r="D264" s="393">
        <v>9</v>
      </c>
      <c r="E264" s="402" t="s">
        <v>349</v>
      </c>
      <c r="F264" s="395"/>
      <c r="G264" s="395"/>
      <c r="H264" s="396" t="e">
        <f t="shared" si="3"/>
        <v>#DIV/0!</v>
      </c>
    </row>
    <row r="265" spans="1:8" ht="15" customHeight="1">
      <c r="A265" s="627"/>
      <c r="B265" s="627"/>
      <c r="C265" s="393">
        <v>606</v>
      </c>
      <c r="D265" s="393">
        <v>0</v>
      </c>
      <c r="E265" s="404" t="s">
        <v>350</v>
      </c>
      <c r="F265" s="395"/>
      <c r="G265" s="395"/>
      <c r="H265" s="396" t="e">
        <f t="shared" si="3"/>
        <v>#DIV/0!</v>
      </c>
    </row>
    <row r="266" spans="1:8" ht="15" customHeight="1">
      <c r="A266" s="627"/>
      <c r="B266" s="380">
        <v>80123</v>
      </c>
      <c r="C266" s="393"/>
      <c r="D266" s="393"/>
      <c r="E266" s="183" t="s">
        <v>42</v>
      </c>
      <c r="F266" s="395">
        <f>SUM(F267:F267)</f>
        <v>0</v>
      </c>
      <c r="G266" s="395">
        <f>SUM(G267:G267)</f>
        <v>0</v>
      </c>
      <c r="H266" s="396" t="e">
        <f t="shared" si="3"/>
        <v>#DIV/0!</v>
      </c>
    </row>
    <row r="267" spans="1:8" ht="15" customHeight="1">
      <c r="A267" s="627"/>
      <c r="B267" s="380"/>
      <c r="C267" s="393">
        <v>254</v>
      </c>
      <c r="D267" s="393">
        <v>0</v>
      </c>
      <c r="E267" s="402" t="s">
        <v>377</v>
      </c>
      <c r="F267" s="395"/>
      <c r="G267" s="395"/>
      <c r="H267" s="396" t="e">
        <f t="shared" si="3"/>
        <v>#DIV/0!</v>
      </c>
    </row>
    <row r="268" spans="1:8" ht="15" customHeight="1">
      <c r="A268" s="627"/>
      <c r="B268" s="380">
        <v>80130</v>
      </c>
      <c r="C268" s="393"/>
      <c r="D268" s="393"/>
      <c r="E268" s="183" t="s">
        <v>43</v>
      </c>
      <c r="F268" s="395">
        <f>SUM(F269:F298)</f>
        <v>0</v>
      </c>
      <c r="G268" s="395">
        <f>SUM(G269:G298)</f>
        <v>0</v>
      </c>
      <c r="H268" s="396" t="e">
        <f t="shared" si="3"/>
        <v>#DIV/0!</v>
      </c>
    </row>
    <row r="269" spans="1:8" ht="15" customHeight="1">
      <c r="A269" s="627"/>
      <c r="B269" s="627"/>
      <c r="C269" s="393">
        <v>254</v>
      </c>
      <c r="D269" s="393">
        <v>0</v>
      </c>
      <c r="E269" s="402" t="s">
        <v>377</v>
      </c>
      <c r="F269" s="395"/>
      <c r="G269" s="395"/>
      <c r="H269" s="396" t="e">
        <f t="shared" si="3"/>
        <v>#DIV/0!</v>
      </c>
    </row>
    <row r="270" spans="1:8" ht="15" customHeight="1">
      <c r="A270" s="627"/>
      <c r="B270" s="627"/>
      <c r="C270" s="393">
        <v>302</v>
      </c>
      <c r="D270" s="393">
        <v>0</v>
      </c>
      <c r="E270" s="401" t="s">
        <v>330</v>
      </c>
      <c r="F270" s="395"/>
      <c r="G270" s="395"/>
      <c r="H270" s="396" t="e">
        <f t="shared" si="3"/>
        <v>#DIV/0!</v>
      </c>
    </row>
    <row r="271" spans="1:8" ht="15" customHeight="1">
      <c r="A271" s="627"/>
      <c r="B271" s="627"/>
      <c r="C271" s="393">
        <v>324</v>
      </c>
      <c r="D271" s="393">
        <v>0</v>
      </c>
      <c r="E271" s="401" t="s">
        <v>379</v>
      </c>
      <c r="F271" s="395"/>
      <c r="G271" s="395"/>
      <c r="H271" s="396" t="e">
        <f t="shared" ref="H271:H334" si="4">G271/F271*100</f>
        <v>#DIV/0!</v>
      </c>
    </row>
    <row r="272" spans="1:8" ht="15" customHeight="1">
      <c r="A272" s="627"/>
      <c r="B272" s="627"/>
      <c r="C272" s="393">
        <v>401</v>
      </c>
      <c r="D272" s="393">
        <v>0</v>
      </c>
      <c r="E272" s="410" t="s">
        <v>331</v>
      </c>
      <c r="F272" s="395"/>
      <c r="G272" s="395"/>
      <c r="H272" s="396" t="e">
        <f t="shared" si="4"/>
        <v>#DIV/0!</v>
      </c>
    </row>
    <row r="273" spans="1:8" ht="15" customHeight="1">
      <c r="A273" s="627"/>
      <c r="B273" s="627"/>
      <c r="C273" s="393">
        <v>404</v>
      </c>
      <c r="D273" s="393">
        <v>0</v>
      </c>
      <c r="E273" s="410" t="s">
        <v>332</v>
      </c>
      <c r="F273" s="395"/>
      <c r="G273" s="395"/>
      <c r="H273" s="396" t="e">
        <f t="shared" si="4"/>
        <v>#DIV/0!</v>
      </c>
    </row>
    <row r="274" spans="1:8" ht="15" customHeight="1">
      <c r="A274" s="627"/>
      <c r="B274" s="627"/>
      <c r="C274" s="393">
        <v>411</v>
      </c>
      <c r="D274" s="393">
        <v>0</v>
      </c>
      <c r="E274" s="410" t="s">
        <v>333</v>
      </c>
      <c r="F274" s="395"/>
      <c r="G274" s="395"/>
      <c r="H274" s="396" t="e">
        <f t="shared" si="4"/>
        <v>#DIV/0!</v>
      </c>
    </row>
    <row r="275" spans="1:8" ht="15" customHeight="1">
      <c r="A275" s="627"/>
      <c r="B275" s="627"/>
      <c r="C275" s="393">
        <v>412</v>
      </c>
      <c r="D275" s="393">
        <v>0</v>
      </c>
      <c r="E275" s="410" t="s">
        <v>334</v>
      </c>
      <c r="F275" s="395"/>
      <c r="G275" s="395"/>
      <c r="H275" s="396" t="e">
        <f t="shared" si="4"/>
        <v>#DIV/0!</v>
      </c>
    </row>
    <row r="276" spans="1:8" ht="15" customHeight="1">
      <c r="A276" s="627"/>
      <c r="B276" s="627"/>
      <c r="C276" s="393">
        <v>414</v>
      </c>
      <c r="D276" s="393">
        <v>0</v>
      </c>
      <c r="E276" s="404" t="s">
        <v>357</v>
      </c>
      <c r="F276" s="395"/>
      <c r="G276" s="395"/>
      <c r="H276" s="396" t="e">
        <f t="shared" si="4"/>
        <v>#DIV/0!</v>
      </c>
    </row>
    <row r="277" spans="1:8" ht="15" customHeight="1">
      <c r="A277" s="627"/>
      <c r="B277" s="627"/>
      <c r="C277" s="393">
        <v>417</v>
      </c>
      <c r="D277" s="393">
        <v>0</v>
      </c>
      <c r="E277" s="402" t="s">
        <v>335</v>
      </c>
      <c r="F277" s="395"/>
      <c r="G277" s="395"/>
      <c r="H277" s="396" t="e">
        <f t="shared" si="4"/>
        <v>#DIV/0!</v>
      </c>
    </row>
    <row r="278" spans="1:8" ht="15" customHeight="1">
      <c r="A278" s="627"/>
      <c r="B278" s="627"/>
      <c r="C278" s="393">
        <v>421</v>
      </c>
      <c r="D278" s="393">
        <v>0</v>
      </c>
      <c r="E278" s="410" t="s">
        <v>327</v>
      </c>
      <c r="F278" s="395"/>
      <c r="G278" s="395"/>
      <c r="H278" s="396" t="e">
        <f t="shared" si="4"/>
        <v>#DIV/0!</v>
      </c>
    </row>
    <row r="279" spans="1:8" ht="15" customHeight="1">
      <c r="A279" s="627"/>
      <c r="B279" s="627"/>
      <c r="C279" s="393">
        <v>424</v>
      </c>
      <c r="D279" s="393">
        <v>0</v>
      </c>
      <c r="E279" s="404" t="s">
        <v>358</v>
      </c>
      <c r="F279" s="395"/>
      <c r="G279" s="395"/>
      <c r="H279" s="396" t="e">
        <f t="shared" si="4"/>
        <v>#DIV/0!</v>
      </c>
    </row>
    <row r="280" spans="1:8" ht="15" customHeight="1">
      <c r="A280" s="627"/>
      <c r="B280" s="627"/>
      <c r="C280" s="393">
        <v>426</v>
      </c>
      <c r="D280" s="393">
        <v>0</v>
      </c>
      <c r="E280" s="410" t="s">
        <v>336</v>
      </c>
      <c r="F280" s="395"/>
      <c r="G280" s="395"/>
      <c r="H280" s="396" t="e">
        <f t="shared" si="4"/>
        <v>#DIV/0!</v>
      </c>
    </row>
    <row r="281" spans="1:8" ht="15" customHeight="1">
      <c r="A281" s="627"/>
      <c r="B281" s="627"/>
      <c r="C281" s="393">
        <v>427</v>
      </c>
      <c r="D281" s="393">
        <v>0</v>
      </c>
      <c r="E281" s="410" t="s">
        <v>337</v>
      </c>
      <c r="F281" s="395"/>
      <c r="G281" s="395"/>
      <c r="H281" s="396" t="e">
        <f t="shared" si="4"/>
        <v>#DIV/0!</v>
      </c>
    </row>
    <row r="282" spans="1:8" ht="15" customHeight="1">
      <c r="A282" s="627"/>
      <c r="B282" s="627"/>
      <c r="C282" s="393">
        <v>428</v>
      </c>
      <c r="D282" s="393">
        <v>0</v>
      </c>
      <c r="E282" s="401" t="s">
        <v>338</v>
      </c>
      <c r="F282" s="395"/>
      <c r="G282" s="395"/>
      <c r="H282" s="396" t="e">
        <f t="shared" si="4"/>
        <v>#DIV/0!</v>
      </c>
    </row>
    <row r="283" spans="1:8" ht="15" customHeight="1">
      <c r="A283" s="627"/>
      <c r="B283" s="627"/>
      <c r="C283" s="393">
        <v>430</v>
      </c>
      <c r="D283" s="393">
        <v>0</v>
      </c>
      <c r="E283" s="410" t="s">
        <v>324</v>
      </c>
      <c r="F283" s="395"/>
      <c r="G283" s="395"/>
      <c r="H283" s="396" t="e">
        <f t="shared" si="4"/>
        <v>#DIV/0!</v>
      </c>
    </row>
    <row r="284" spans="1:8" ht="15" customHeight="1">
      <c r="A284" s="627"/>
      <c r="B284" s="627"/>
      <c r="C284" s="393">
        <v>435</v>
      </c>
      <c r="D284" s="393">
        <v>0</v>
      </c>
      <c r="E284" s="401" t="s">
        <v>339</v>
      </c>
      <c r="F284" s="395"/>
      <c r="G284" s="395"/>
      <c r="H284" s="396" t="e">
        <f t="shared" si="4"/>
        <v>#DIV/0!</v>
      </c>
    </row>
    <row r="285" spans="1:8" ht="15" customHeight="1">
      <c r="A285" s="627"/>
      <c r="B285" s="627"/>
      <c r="C285" s="393">
        <v>436</v>
      </c>
      <c r="D285" s="393">
        <v>0</v>
      </c>
      <c r="E285" s="402" t="s">
        <v>340</v>
      </c>
      <c r="F285" s="395"/>
      <c r="G285" s="395"/>
      <c r="H285" s="396" t="e">
        <f t="shared" si="4"/>
        <v>#DIV/0!</v>
      </c>
    </row>
    <row r="286" spans="1:8" ht="15" customHeight="1">
      <c r="A286" s="627"/>
      <c r="B286" s="627"/>
      <c r="C286" s="393">
        <v>437</v>
      </c>
      <c r="D286" s="393">
        <v>0</v>
      </c>
      <c r="E286" s="402" t="s">
        <v>341</v>
      </c>
      <c r="F286" s="395"/>
      <c r="G286" s="395"/>
      <c r="H286" s="396" t="e">
        <f t="shared" si="4"/>
        <v>#DIV/0!</v>
      </c>
    </row>
    <row r="287" spans="1:8" ht="15" customHeight="1">
      <c r="A287" s="627"/>
      <c r="B287" s="627"/>
      <c r="C287" s="393">
        <v>441</v>
      </c>
      <c r="D287" s="393">
        <v>0</v>
      </c>
      <c r="E287" s="410" t="s">
        <v>342</v>
      </c>
      <c r="F287" s="395"/>
      <c r="G287" s="395"/>
      <c r="H287" s="396" t="e">
        <f t="shared" si="4"/>
        <v>#DIV/0!</v>
      </c>
    </row>
    <row r="288" spans="1:8" ht="15" customHeight="1">
      <c r="A288" s="627"/>
      <c r="B288" s="627"/>
      <c r="C288" s="393">
        <v>442</v>
      </c>
      <c r="D288" s="393">
        <v>0</v>
      </c>
      <c r="E288" s="402" t="s">
        <v>360</v>
      </c>
      <c r="F288" s="395"/>
      <c r="G288" s="395"/>
      <c r="H288" s="396" t="e">
        <f t="shared" si="4"/>
        <v>#DIV/0!</v>
      </c>
    </row>
    <row r="289" spans="1:8" ht="15" customHeight="1">
      <c r="A289" s="627"/>
      <c r="B289" s="627"/>
      <c r="C289" s="393">
        <v>443</v>
      </c>
      <c r="D289" s="393">
        <v>0</v>
      </c>
      <c r="E289" s="404" t="s">
        <v>356</v>
      </c>
      <c r="F289" s="395"/>
      <c r="G289" s="395"/>
      <c r="H289" s="396" t="e">
        <f t="shared" si="4"/>
        <v>#DIV/0!</v>
      </c>
    </row>
    <row r="290" spans="1:8" ht="15" customHeight="1">
      <c r="A290" s="627"/>
      <c r="B290" s="627"/>
      <c r="C290" s="393">
        <v>444</v>
      </c>
      <c r="D290" s="393">
        <v>0</v>
      </c>
      <c r="E290" s="410" t="s">
        <v>343</v>
      </c>
      <c r="F290" s="395"/>
      <c r="G290" s="395"/>
      <c r="H290" s="396" t="e">
        <f t="shared" si="4"/>
        <v>#DIV/0!</v>
      </c>
    </row>
    <row r="291" spans="1:8" ht="15" customHeight="1">
      <c r="A291" s="627"/>
      <c r="B291" s="627"/>
      <c r="C291" s="393">
        <v>451</v>
      </c>
      <c r="D291" s="393">
        <v>0</v>
      </c>
      <c r="E291" s="402" t="s">
        <v>345</v>
      </c>
      <c r="F291" s="395"/>
      <c r="G291" s="395"/>
      <c r="H291" s="396" t="e">
        <f t="shared" si="4"/>
        <v>#DIV/0!</v>
      </c>
    </row>
    <row r="292" spans="1:8" ht="15" customHeight="1">
      <c r="A292" s="627"/>
      <c r="B292" s="627"/>
      <c r="C292" s="393">
        <v>453</v>
      </c>
      <c r="D292" s="393">
        <v>0</v>
      </c>
      <c r="E292" s="402" t="s">
        <v>328</v>
      </c>
      <c r="F292" s="395"/>
      <c r="G292" s="395"/>
      <c r="H292" s="396" t="e">
        <f t="shared" si="4"/>
        <v>#DIV/0!</v>
      </c>
    </row>
    <row r="293" spans="1:8" ht="15" customHeight="1">
      <c r="A293" s="627"/>
      <c r="B293" s="627"/>
      <c r="C293" s="393">
        <v>458</v>
      </c>
      <c r="D293" s="393">
        <v>0</v>
      </c>
      <c r="E293" s="381" t="s">
        <v>59</v>
      </c>
      <c r="F293" s="395"/>
      <c r="G293" s="395"/>
      <c r="H293" s="396" t="e">
        <f t="shared" si="4"/>
        <v>#DIV/0!</v>
      </c>
    </row>
    <row r="294" spans="1:8" ht="15" customHeight="1">
      <c r="A294" s="627"/>
      <c r="B294" s="627"/>
      <c r="C294" s="393">
        <v>461</v>
      </c>
      <c r="D294" s="393">
        <v>0</v>
      </c>
      <c r="E294" s="401" t="s">
        <v>347</v>
      </c>
      <c r="F294" s="395"/>
      <c r="G294" s="395"/>
      <c r="H294" s="396" t="e">
        <f t="shared" si="4"/>
        <v>#DIV/0!</v>
      </c>
    </row>
    <row r="295" spans="1:8" ht="15" customHeight="1">
      <c r="A295" s="627"/>
      <c r="B295" s="627"/>
      <c r="C295" s="393">
        <v>470</v>
      </c>
      <c r="D295" s="393">
        <v>0</v>
      </c>
      <c r="E295" s="402" t="s">
        <v>348</v>
      </c>
      <c r="F295" s="395"/>
      <c r="G295" s="395"/>
      <c r="H295" s="396" t="e">
        <f t="shared" si="4"/>
        <v>#DIV/0!</v>
      </c>
    </row>
    <row r="296" spans="1:8" ht="15" customHeight="1">
      <c r="A296" s="627"/>
      <c r="B296" s="627"/>
      <c r="C296" s="393">
        <v>605</v>
      </c>
      <c r="D296" s="393">
        <v>0</v>
      </c>
      <c r="E296" s="402" t="s">
        <v>349</v>
      </c>
      <c r="F296" s="395"/>
      <c r="G296" s="395"/>
      <c r="H296" s="396" t="e">
        <f t="shared" si="4"/>
        <v>#DIV/0!</v>
      </c>
    </row>
    <row r="297" spans="1:8" ht="15" customHeight="1">
      <c r="A297" s="627"/>
      <c r="B297" s="627"/>
      <c r="C297" s="393">
        <v>605</v>
      </c>
      <c r="D297" s="393">
        <v>7</v>
      </c>
      <c r="E297" s="402" t="s">
        <v>349</v>
      </c>
      <c r="F297" s="395"/>
      <c r="G297" s="395"/>
      <c r="H297" s="396" t="e">
        <f t="shared" si="4"/>
        <v>#DIV/0!</v>
      </c>
    </row>
    <row r="298" spans="1:8" ht="15" customHeight="1">
      <c r="A298" s="627"/>
      <c r="B298" s="627"/>
      <c r="C298" s="393">
        <v>605</v>
      </c>
      <c r="D298" s="393">
        <v>9</v>
      </c>
      <c r="E298" s="402" t="s">
        <v>349</v>
      </c>
      <c r="F298" s="395"/>
      <c r="G298" s="395"/>
      <c r="H298" s="396" t="e">
        <f t="shared" si="4"/>
        <v>#DIV/0!</v>
      </c>
    </row>
    <row r="299" spans="1:8" ht="15" customHeight="1">
      <c r="A299" s="627"/>
      <c r="B299" s="380">
        <v>80140</v>
      </c>
      <c r="C299" s="393"/>
      <c r="D299" s="393"/>
      <c r="E299" s="183" t="s">
        <v>169</v>
      </c>
      <c r="F299" s="395">
        <f>SUM(F300:F313)</f>
        <v>0</v>
      </c>
      <c r="G299" s="395">
        <f>SUM(G300:G313)</f>
        <v>0</v>
      </c>
      <c r="H299" s="396" t="e">
        <f t="shared" si="4"/>
        <v>#DIV/0!</v>
      </c>
    </row>
    <row r="300" spans="1:8" ht="15" customHeight="1">
      <c r="A300" s="627"/>
      <c r="B300" s="627"/>
      <c r="C300" s="393">
        <v>302</v>
      </c>
      <c r="D300" s="393">
        <v>0</v>
      </c>
      <c r="E300" s="411" t="s">
        <v>330</v>
      </c>
      <c r="F300" s="395"/>
      <c r="G300" s="395"/>
      <c r="H300" s="396" t="e">
        <f t="shared" si="4"/>
        <v>#DIV/0!</v>
      </c>
    </row>
    <row r="301" spans="1:8" ht="15" customHeight="1">
      <c r="A301" s="627"/>
      <c r="B301" s="627"/>
      <c r="C301" s="393">
        <v>401</v>
      </c>
      <c r="D301" s="393">
        <v>0</v>
      </c>
      <c r="E301" s="401" t="s">
        <v>331</v>
      </c>
      <c r="F301" s="395"/>
      <c r="G301" s="395"/>
      <c r="H301" s="396" t="e">
        <f t="shared" si="4"/>
        <v>#DIV/0!</v>
      </c>
    </row>
    <row r="302" spans="1:8" ht="15" customHeight="1">
      <c r="A302" s="627"/>
      <c r="B302" s="627"/>
      <c r="C302" s="393">
        <v>404</v>
      </c>
      <c r="D302" s="393">
        <v>0</v>
      </c>
      <c r="E302" s="410" t="s">
        <v>332</v>
      </c>
      <c r="F302" s="395"/>
      <c r="G302" s="395"/>
      <c r="H302" s="396" t="e">
        <f t="shared" si="4"/>
        <v>#DIV/0!</v>
      </c>
    </row>
    <row r="303" spans="1:8" ht="15" customHeight="1">
      <c r="A303" s="627"/>
      <c r="B303" s="627"/>
      <c r="C303" s="393">
        <v>411</v>
      </c>
      <c r="D303" s="393">
        <v>0</v>
      </c>
      <c r="E303" s="401" t="s">
        <v>333</v>
      </c>
      <c r="F303" s="395"/>
      <c r="G303" s="395"/>
      <c r="H303" s="396" t="e">
        <f t="shared" si="4"/>
        <v>#DIV/0!</v>
      </c>
    </row>
    <row r="304" spans="1:8" ht="15" customHeight="1">
      <c r="A304" s="627"/>
      <c r="B304" s="627"/>
      <c r="C304" s="393">
        <v>412</v>
      </c>
      <c r="D304" s="393">
        <v>0</v>
      </c>
      <c r="E304" s="401" t="s">
        <v>334</v>
      </c>
      <c r="F304" s="395"/>
      <c r="G304" s="395"/>
      <c r="H304" s="396" t="e">
        <f t="shared" si="4"/>
        <v>#DIV/0!</v>
      </c>
    </row>
    <row r="305" spans="1:8" ht="15" customHeight="1">
      <c r="A305" s="627"/>
      <c r="B305" s="627"/>
      <c r="C305" s="393">
        <v>417</v>
      </c>
      <c r="D305" s="393">
        <v>0</v>
      </c>
      <c r="E305" s="401" t="s">
        <v>335</v>
      </c>
      <c r="F305" s="395"/>
      <c r="G305" s="395"/>
      <c r="H305" s="396" t="e">
        <f t="shared" si="4"/>
        <v>#DIV/0!</v>
      </c>
    </row>
    <row r="306" spans="1:8" ht="15" customHeight="1">
      <c r="A306" s="627"/>
      <c r="B306" s="627"/>
      <c r="C306" s="393">
        <v>421</v>
      </c>
      <c r="D306" s="393">
        <v>0</v>
      </c>
      <c r="E306" s="401" t="s">
        <v>327</v>
      </c>
      <c r="F306" s="395"/>
      <c r="G306" s="395"/>
      <c r="H306" s="396" t="e">
        <f t="shared" si="4"/>
        <v>#DIV/0!</v>
      </c>
    </row>
    <row r="307" spans="1:8" ht="15" customHeight="1">
      <c r="A307" s="627"/>
      <c r="B307" s="627"/>
      <c r="C307" s="393">
        <v>426</v>
      </c>
      <c r="D307" s="393">
        <v>0</v>
      </c>
      <c r="E307" s="401" t="s">
        <v>336</v>
      </c>
      <c r="F307" s="395"/>
      <c r="G307" s="395"/>
      <c r="H307" s="396" t="e">
        <f t="shared" si="4"/>
        <v>#DIV/0!</v>
      </c>
    </row>
    <row r="308" spans="1:8" ht="15" customHeight="1">
      <c r="A308" s="627"/>
      <c r="B308" s="627"/>
      <c r="C308" s="393">
        <v>427</v>
      </c>
      <c r="D308" s="393">
        <v>0</v>
      </c>
      <c r="E308" s="401" t="s">
        <v>337</v>
      </c>
      <c r="F308" s="395"/>
      <c r="G308" s="395"/>
      <c r="H308" s="396" t="e">
        <f t="shared" si="4"/>
        <v>#DIV/0!</v>
      </c>
    </row>
    <row r="309" spans="1:8" ht="15" customHeight="1">
      <c r="A309" s="627"/>
      <c r="B309" s="627"/>
      <c r="C309" s="393">
        <v>428</v>
      </c>
      <c r="D309" s="393">
        <v>0</v>
      </c>
      <c r="E309" s="401" t="s">
        <v>338</v>
      </c>
      <c r="F309" s="395"/>
      <c r="G309" s="395"/>
      <c r="H309" s="396" t="e">
        <f t="shared" si="4"/>
        <v>#DIV/0!</v>
      </c>
    </row>
    <row r="310" spans="1:8" ht="15" customHeight="1">
      <c r="A310" s="627"/>
      <c r="B310" s="627"/>
      <c r="C310" s="393">
        <v>430</v>
      </c>
      <c r="D310" s="393">
        <v>0</v>
      </c>
      <c r="E310" s="401" t="s">
        <v>324</v>
      </c>
      <c r="F310" s="395"/>
      <c r="G310" s="395"/>
      <c r="H310" s="396" t="e">
        <f t="shared" si="4"/>
        <v>#DIV/0!</v>
      </c>
    </row>
    <row r="311" spans="1:8" ht="15" customHeight="1">
      <c r="A311" s="627"/>
      <c r="B311" s="627"/>
      <c r="C311" s="393">
        <v>437</v>
      </c>
      <c r="D311" s="393">
        <v>0</v>
      </c>
      <c r="E311" s="402" t="s">
        <v>341</v>
      </c>
      <c r="F311" s="395"/>
      <c r="G311" s="395"/>
      <c r="H311" s="396" t="e">
        <f t="shared" si="4"/>
        <v>#DIV/0!</v>
      </c>
    </row>
    <row r="312" spans="1:8" ht="15" customHeight="1">
      <c r="A312" s="627"/>
      <c r="B312" s="627"/>
      <c r="C312" s="393">
        <v>444</v>
      </c>
      <c r="D312" s="393">
        <v>0</v>
      </c>
      <c r="E312" s="410" t="s">
        <v>343</v>
      </c>
      <c r="F312" s="395"/>
      <c r="G312" s="395"/>
      <c r="H312" s="396" t="e">
        <f t="shared" si="4"/>
        <v>#DIV/0!</v>
      </c>
    </row>
    <row r="313" spans="1:8" ht="15" customHeight="1">
      <c r="A313" s="627"/>
      <c r="B313" s="627"/>
      <c r="C313" s="393">
        <v>453</v>
      </c>
      <c r="D313" s="393">
        <v>0</v>
      </c>
      <c r="E313" s="402" t="s">
        <v>328</v>
      </c>
      <c r="F313" s="395"/>
      <c r="G313" s="395"/>
      <c r="H313" s="396" t="e">
        <f t="shared" si="4"/>
        <v>#DIV/0!</v>
      </c>
    </row>
    <row r="314" spans="1:8" ht="15" customHeight="1">
      <c r="A314" s="627"/>
      <c r="B314" s="380">
        <v>80144</v>
      </c>
      <c r="C314" s="393"/>
      <c r="D314" s="393"/>
      <c r="E314" s="183" t="s">
        <v>196</v>
      </c>
      <c r="F314" s="395">
        <f>SUM(F315:F320)</f>
        <v>0</v>
      </c>
      <c r="G314" s="395">
        <f>SUM(G315:G320)</f>
        <v>0</v>
      </c>
      <c r="H314" s="396" t="e">
        <f t="shared" si="4"/>
        <v>#DIV/0!</v>
      </c>
    </row>
    <row r="315" spans="1:8" ht="15" customHeight="1">
      <c r="A315" s="627"/>
      <c r="B315" s="629"/>
      <c r="C315" s="393">
        <v>254</v>
      </c>
      <c r="D315" s="393">
        <v>0</v>
      </c>
      <c r="E315" s="402" t="s">
        <v>377</v>
      </c>
      <c r="F315" s="395"/>
      <c r="G315" s="395"/>
      <c r="H315" s="396" t="e">
        <f t="shared" si="4"/>
        <v>#DIV/0!</v>
      </c>
    </row>
    <row r="316" spans="1:8" ht="15" customHeight="1">
      <c r="A316" s="627"/>
      <c r="B316" s="630"/>
      <c r="C316" s="393">
        <v>401</v>
      </c>
      <c r="D316" s="393">
        <v>0</v>
      </c>
      <c r="E316" s="401" t="s">
        <v>331</v>
      </c>
      <c r="F316" s="395"/>
      <c r="G316" s="395"/>
      <c r="H316" s="396" t="e">
        <f t="shared" si="4"/>
        <v>#DIV/0!</v>
      </c>
    </row>
    <row r="317" spans="1:8" ht="15" customHeight="1">
      <c r="A317" s="627"/>
      <c r="B317" s="630"/>
      <c r="C317" s="393">
        <v>411</v>
      </c>
      <c r="D317" s="393">
        <v>0</v>
      </c>
      <c r="E317" s="401" t="s">
        <v>333</v>
      </c>
      <c r="F317" s="395"/>
      <c r="G317" s="395"/>
      <c r="H317" s="396" t="e">
        <f t="shared" si="4"/>
        <v>#DIV/0!</v>
      </c>
    </row>
    <row r="318" spans="1:8" ht="15" customHeight="1">
      <c r="A318" s="627"/>
      <c r="B318" s="630"/>
      <c r="C318" s="393">
        <v>412</v>
      </c>
      <c r="D318" s="393">
        <v>0</v>
      </c>
      <c r="E318" s="401" t="s">
        <v>334</v>
      </c>
      <c r="F318" s="395"/>
      <c r="G318" s="395"/>
      <c r="H318" s="396" t="e">
        <f t="shared" si="4"/>
        <v>#DIV/0!</v>
      </c>
    </row>
    <row r="319" spans="1:8" ht="15" customHeight="1">
      <c r="A319" s="627"/>
      <c r="B319" s="630"/>
      <c r="C319" s="393">
        <v>421</v>
      </c>
      <c r="D319" s="393">
        <v>0</v>
      </c>
      <c r="E319" s="401" t="s">
        <v>327</v>
      </c>
      <c r="F319" s="395"/>
      <c r="G319" s="395"/>
      <c r="H319" s="396" t="e">
        <f t="shared" si="4"/>
        <v>#DIV/0!</v>
      </c>
    </row>
    <row r="320" spans="1:8" ht="15" customHeight="1">
      <c r="A320" s="627"/>
      <c r="B320" s="631"/>
      <c r="C320" s="393">
        <v>444</v>
      </c>
      <c r="D320" s="393">
        <v>0</v>
      </c>
      <c r="E320" s="410" t="s">
        <v>343</v>
      </c>
      <c r="F320" s="395"/>
      <c r="G320" s="395"/>
      <c r="H320" s="396" t="e">
        <f t="shared" si="4"/>
        <v>#DIV/0!</v>
      </c>
    </row>
    <row r="321" spans="1:8" ht="15" customHeight="1">
      <c r="A321" s="627"/>
      <c r="B321" s="380">
        <v>80146</v>
      </c>
      <c r="C321" s="393"/>
      <c r="D321" s="393"/>
      <c r="E321" s="183" t="s">
        <v>84</v>
      </c>
      <c r="F321" s="395">
        <f>SUM(F322:F327)</f>
        <v>0</v>
      </c>
      <c r="G321" s="395">
        <f>SUM(G322:G327)</f>
        <v>0</v>
      </c>
      <c r="H321" s="396" t="e">
        <f t="shared" si="4"/>
        <v>#DIV/0!</v>
      </c>
    </row>
    <row r="322" spans="1:8" ht="15" customHeight="1">
      <c r="A322" s="627"/>
      <c r="B322" s="627"/>
      <c r="C322" s="393">
        <v>302</v>
      </c>
      <c r="D322" s="393">
        <v>0</v>
      </c>
      <c r="E322" s="411" t="s">
        <v>330</v>
      </c>
      <c r="F322" s="395"/>
      <c r="G322" s="395"/>
      <c r="H322" s="396" t="e">
        <f t="shared" si="4"/>
        <v>#DIV/0!</v>
      </c>
    </row>
    <row r="323" spans="1:8" ht="15" customHeight="1">
      <c r="A323" s="627"/>
      <c r="B323" s="627"/>
      <c r="C323" s="393">
        <v>421</v>
      </c>
      <c r="D323" s="393">
        <v>0</v>
      </c>
      <c r="E323" s="401" t="s">
        <v>327</v>
      </c>
      <c r="F323" s="395"/>
      <c r="G323" s="395"/>
      <c r="H323" s="396" t="e">
        <f t="shared" si="4"/>
        <v>#DIV/0!</v>
      </c>
    </row>
    <row r="324" spans="1:8" ht="15" customHeight="1">
      <c r="A324" s="627"/>
      <c r="B324" s="627"/>
      <c r="C324" s="393">
        <v>424</v>
      </c>
      <c r="D324" s="393">
        <v>0</v>
      </c>
      <c r="E324" s="410" t="s">
        <v>358</v>
      </c>
      <c r="F324" s="395"/>
      <c r="G324" s="395"/>
      <c r="H324" s="396" t="e">
        <f t="shared" si="4"/>
        <v>#DIV/0!</v>
      </c>
    </row>
    <row r="325" spans="1:8" ht="15" customHeight="1">
      <c r="A325" s="627"/>
      <c r="B325" s="627"/>
      <c r="C325" s="393">
        <v>430</v>
      </c>
      <c r="D325" s="393">
        <v>0</v>
      </c>
      <c r="E325" s="410" t="s">
        <v>324</v>
      </c>
      <c r="F325" s="395"/>
      <c r="G325" s="395"/>
      <c r="H325" s="396" t="e">
        <f t="shared" si="4"/>
        <v>#DIV/0!</v>
      </c>
    </row>
    <row r="326" spans="1:8" ht="15" customHeight="1">
      <c r="A326" s="627"/>
      <c r="B326" s="627"/>
      <c r="C326" s="393">
        <v>441</v>
      </c>
      <c r="D326" s="393">
        <v>0</v>
      </c>
      <c r="E326" s="401" t="s">
        <v>342</v>
      </c>
      <c r="F326" s="395"/>
      <c r="G326" s="395"/>
      <c r="H326" s="396" t="e">
        <f t="shared" si="4"/>
        <v>#DIV/0!</v>
      </c>
    </row>
    <row r="327" spans="1:8" ht="15" customHeight="1">
      <c r="A327" s="627"/>
      <c r="B327" s="627"/>
      <c r="C327" s="393">
        <v>470</v>
      </c>
      <c r="D327" s="393">
        <v>0</v>
      </c>
      <c r="E327" s="402" t="s">
        <v>348</v>
      </c>
      <c r="F327" s="395"/>
      <c r="G327" s="395"/>
      <c r="H327" s="396" t="e">
        <f t="shared" si="4"/>
        <v>#DIV/0!</v>
      </c>
    </row>
    <row r="328" spans="1:8" ht="15" customHeight="1">
      <c r="A328" s="627"/>
      <c r="B328" s="380">
        <v>80148</v>
      </c>
      <c r="C328" s="393"/>
      <c r="D328" s="393"/>
      <c r="E328" s="183" t="s">
        <v>170</v>
      </c>
      <c r="F328" s="395">
        <f>SUM(F329:F337)</f>
        <v>0</v>
      </c>
      <c r="G328" s="395">
        <f>SUM(G329:G337)</f>
        <v>0</v>
      </c>
      <c r="H328" s="396" t="e">
        <f t="shared" si="4"/>
        <v>#DIV/0!</v>
      </c>
    </row>
    <row r="329" spans="1:8" ht="15" customHeight="1">
      <c r="A329" s="627"/>
      <c r="B329" s="627"/>
      <c r="C329" s="393">
        <v>401</v>
      </c>
      <c r="D329" s="393">
        <v>0</v>
      </c>
      <c r="E329" s="410" t="s">
        <v>331</v>
      </c>
      <c r="F329" s="395"/>
      <c r="G329" s="395"/>
      <c r="H329" s="396" t="e">
        <f t="shared" si="4"/>
        <v>#DIV/0!</v>
      </c>
    </row>
    <row r="330" spans="1:8" ht="15" customHeight="1">
      <c r="A330" s="627"/>
      <c r="B330" s="627"/>
      <c r="C330" s="393">
        <v>404</v>
      </c>
      <c r="D330" s="393">
        <v>0</v>
      </c>
      <c r="E330" s="410" t="s">
        <v>332</v>
      </c>
      <c r="F330" s="395"/>
      <c r="G330" s="395"/>
      <c r="H330" s="396" t="e">
        <f t="shared" si="4"/>
        <v>#DIV/0!</v>
      </c>
    </row>
    <row r="331" spans="1:8" ht="15" customHeight="1">
      <c r="A331" s="627"/>
      <c r="B331" s="627"/>
      <c r="C331" s="393">
        <v>411</v>
      </c>
      <c r="D331" s="393">
        <v>0</v>
      </c>
      <c r="E331" s="410" t="s">
        <v>333</v>
      </c>
      <c r="F331" s="395"/>
      <c r="G331" s="395"/>
      <c r="H331" s="396" t="e">
        <f t="shared" si="4"/>
        <v>#DIV/0!</v>
      </c>
    </row>
    <row r="332" spans="1:8" ht="15" customHeight="1">
      <c r="A332" s="627"/>
      <c r="B332" s="627"/>
      <c r="C332" s="393">
        <v>412</v>
      </c>
      <c r="D332" s="393">
        <v>0</v>
      </c>
      <c r="E332" s="410" t="s">
        <v>334</v>
      </c>
      <c r="F332" s="395"/>
      <c r="G332" s="395"/>
      <c r="H332" s="396" t="e">
        <f t="shared" si="4"/>
        <v>#DIV/0!</v>
      </c>
    </row>
    <row r="333" spans="1:8" ht="15" customHeight="1">
      <c r="A333" s="627"/>
      <c r="B333" s="627"/>
      <c r="C333" s="393">
        <v>421</v>
      </c>
      <c r="D333" s="393">
        <v>0</v>
      </c>
      <c r="E333" s="401" t="s">
        <v>327</v>
      </c>
      <c r="F333" s="395"/>
      <c r="G333" s="395"/>
      <c r="H333" s="396" t="e">
        <f t="shared" si="4"/>
        <v>#DIV/0!</v>
      </c>
    </row>
    <row r="334" spans="1:8" ht="15" customHeight="1">
      <c r="A334" s="627"/>
      <c r="B334" s="627"/>
      <c r="C334" s="393">
        <v>422</v>
      </c>
      <c r="D334" s="393">
        <v>0</v>
      </c>
      <c r="E334" s="404" t="s">
        <v>380</v>
      </c>
      <c r="F334" s="395"/>
      <c r="G334" s="395"/>
      <c r="H334" s="396" t="e">
        <f t="shared" si="4"/>
        <v>#DIV/0!</v>
      </c>
    </row>
    <row r="335" spans="1:8" ht="15" customHeight="1">
      <c r="A335" s="627"/>
      <c r="B335" s="627"/>
      <c r="C335" s="393">
        <v>426</v>
      </c>
      <c r="D335" s="393">
        <v>0</v>
      </c>
      <c r="E335" s="401" t="s">
        <v>336</v>
      </c>
      <c r="F335" s="395"/>
      <c r="G335" s="395"/>
      <c r="H335" s="396" t="e">
        <f t="shared" ref="H335:H408" si="5">G335/F335*100</f>
        <v>#DIV/0!</v>
      </c>
    </row>
    <row r="336" spans="1:8" ht="15" customHeight="1">
      <c r="A336" s="627"/>
      <c r="B336" s="627"/>
      <c r="C336" s="393">
        <v>430</v>
      </c>
      <c r="D336" s="393">
        <v>0</v>
      </c>
      <c r="E336" s="401" t="s">
        <v>324</v>
      </c>
      <c r="F336" s="395"/>
      <c r="G336" s="395"/>
      <c r="H336" s="396" t="e">
        <f t="shared" si="5"/>
        <v>#DIV/0!</v>
      </c>
    </row>
    <row r="337" spans="1:8" ht="15" customHeight="1">
      <c r="A337" s="627"/>
      <c r="B337" s="627"/>
      <c r="C337" s="393">
        <v>444</v>
      </c>
      <c r="D337" s="393">
        <v>0</v>
      </c>
      <c r="E337" s="410" t="s">
        <v>343</v>
      </c>
      <c r="F337" s="395"/>
      <c r="G337" s="395"/>
      <c r="H337" s="396" t="e">
        <f t="shared" si="5"/>
        <v>#DIV/0!</v>
      </c>
    </row>
    <row r="338" spans="1:8" ht="15" customHeight="1">
      <c r="A338" s="627"/>
      <c r="B338" s="380">
        <v>80195</v>
      </c>
      <c r="C338" s="393"/>
      <c r="D338" s="393"/>
      <c r="E338" s="183" t="s">
        <v>74</v>
      </c>
      <c r="F338" s="395">
        <f>SUM(F339:F341)</f>
        <v>0</v>
      </c>
      <c r="G338" s="395">
        <f>SUM(G339:G341)</f>
        <v>0</v>
      </c>
      <c r="H338" s="396" t="e">
        <f t="shared" si="5"/>
        <v>#DIV/0!</v>
      </c>
    </row>
    <row r="339" spans="1:8" ht="15" customHeight="1">
      <c r="A339" s="627"/>
      <c r="B339" s="627"/>
      <c r="C339" s="393">
        <v>401</v>
      </c>
      <c r="D339" s="393">
        <v>0</v>
      </c>
      <c r="E339" s="410" t="s">
        <v>331</v>
      </c>
      <c r="F339" s="395"/>
      <c r="G339" s="395"/>
      <c r="H339" s="396" t="e">
        <f t="shared" si="5"/>
        <v>#DIV/0!</v>
      </c>
    </row>
    <row r="340" spans="1:8" ht="15" customHeight="1">
      <c r="A340" s="627"/>
      <c r="B340" s="627"/>
      <c r="C340" s="393">
        <v>417</v>
      </c>
      <c r="D340" s="393">
        <v>0</v>
      </c>
      <c r="E340" s="401" t="s">
        <v>335</v>
      </c>
      <c r="F340" s="395"/>
      <c r="G340" s="395"/>
      <c r="H340" s="396" t="e">
        <f t="shared" si="5"/>
        <v>#DIV/0!</v>
      </c>
    </row>
    <row r="341" spans="1:8" ht="15" customHeight="1">
      <c r="A341" s="627"/>
      <c r="B341" s="627"/>
      <c r="C341" s="393">
        <v>430</v>
      </c>
      <c r="D341" s="393">
        <v>0</v>
      </c>
      <c r="E341" s="401" t="s">
        <v>324</v>
      </c>
      <c r="F341" s="395"/>
      <c r="G341" s="395"/>
      <c r="H341" s="396" t="e">
        <f t="shared" si="5"/>
        <v>#DIV/0!</v>
      </c>
    </row>
    <row r="342" spans="1:8">
      <c r="A342" s="387">
        <v>851</v>
      </c>
      <c r="B342" s="387"/>
      <c r="C342" s="388"/>
      <c r="D342" s="388"/>
      <c r="E342" s="412" t="s">
        <v>34</v>
      </c>
      <c r="F342" s="390">
        <f>F343+F354+F357+F349+F352</f>
        <v>0</v>
      </c>
      <c r="G342" s="390">
        <f>G343+G354+G357+G349+G352</f>
        <v>0</v>
      </c>
      <c r="H342" s="391" t="e">
        <f t="shared" si="5"/>
        <v>#DIV/0!</v>
      </c>
    </row>
    <row r="343" spans="1:8" ht="15" customHeight="1">
      <c r="A343" s="627"/>
      <c r="B343" s="380">
        <v>85111</v>
      </c>
      <c r="C343" s="393"/>
      <c r="D343" s="393"/>
      <c r="E343" s="413" t="s">
        <v>85</v>
      </c>
      <c r="F343" s="395">
        <f>SUM(F344:F348)</f>
        <v>0</v>
      </c>
      <c r="G343" s="395">
        <f>SUM(G344:G348)</f>
        <v>0</v>
      </c>
      <c r="H343" s="396" t="e">
        <f t="shared" si="5"/>
        <v>#DIV/0!</v>
      </c>
    </row>
    <row r="344" spans="1:8" ht="15" customHeight="1">
      <c r="A344" s="627"/>
      <c r="B344" s="627"/>
      <c r="C344" s="393">
        <v>416</v>
      </c>
      <c r="D344" s="393">
        <v>0</v>
      </c>
      <c r="E344" s="183" t="s">
        <v>381</v>
      </c>
      <c r="F344" s="395"/>
      <c r="G344" s="395"/>
      <c r="H344" s="396" t="e">
        <f t="shared" si="5"/>
        <v>#DIV/0!</v>
      </c>
    </row>
    <row r="345" spans="1:8" ht="15" customHeight="1">
      <c r="A345" s="627"/>
      <c r="B345" s="627"/>
      <c r="C345" s="393">
        <v>427</v>
      </c>
      <c r="D345" s="393">
        <v>0</v>
      </c>
      <c r="E345" s="401" t="s">
        <v>337</v>
      </c>
      <c r="F345" s="395"/>
      <c r="G345" s="395"/>
      <c r="H345" s="396" t="e">
        <f t="shared" si="5"/>
        <v>#DIV/0!</v>
      </c>
    </row>
    <row r="346" spans="1:8" ht="15" customHeight="1">
      <c r="A346" s="627"/>
      <c r="B346" s="627"/>
      <c r="C346" s="393">
        <v>430</v>
      </c>
      <c r="D346" s="393">
        <v>0</v>
      </c>
      <c r="E346" s="401" t="s">
        <v>324</v>
      </c>
      <c r="F346" s="395"/>
      <c r="G346" s="395"/>
      <c r="H346" s="396" t="e">
        <f t="shared" si="5"/>
        <v>#DIV/0!</v>
      </c>
    </row>
    <row r="347" spans="1:8" ht="15" customHeight="1">
      <c r="A347" s="627"/>
      <c r="B347" s="627"/>
      <c r="C347" s="393">
        <v>605</v>
      </c>
      <c r="D347" s="393">
        <v>0</v>
      </c>
      <c r="E347" s="394" t="s">
        <v>349</v>
      </c>
      <c r="F347" s="395"/>
      <c r="G347" s="395"/>
      <c r="H347" s="396" t="e">
        <f t="shared" si="5"/>
        <v>#DIV/0!</v>
      </c>
    </row>
    <row r="348" spans="1:8" ht="15" customHeight="1">
      <c r="A348" s="627"/>
      <c r="B348" s="627"/>
      <c r="C348" s="393">
        <v>622</v>
      </c>
      <c r="D348" s="393">
        <v>0</v>
      </c>
      <c r="E348" s="404" t="s">
        <v>382</v>
      </c>
      <c r="F348" s="395"/>
      <c r="G348" s="395"/>
      <c r="H348" s="396" t="e">
        <f t="shared" si="5"/>
        <v>#DIV/0!</v>
      </c>
    </row>
    <row r="349" spans="1:8" ht="15" customHeight="1">
      <c r="A349" s="627"/>
      <c r="B349" s="380">
        <v>85132</v>
      </c>
      <c r="C349" s="393"/>
      <c r="D349" s="393"/>
      <c r="E349" s="404" t="s">
        <v>288</v>
      </c>
      <c r="F349" s="395">
        <f>F350+F351</f>
        <v>0</v>
      </c>
      <c r="G349" s="395">
        <f>G350+G351</f>
        <v>0</v>
      </c>
      <c r="H349" s="396" t="e">
        <f t="shared" si="5"/>
        <v>#DIV/0!</v>
      </c>
    </row>
    <row r="350" spans="1:8" ht="15" customHeight="1">
      <c r="A350" s="627"/>
      <c r="B350" s="629"/>
      <c r="C350" s="393">
        <v>421</v>
      </c>
      <c r="D350" s="393">
        <v>0</v>
      </c>
      <c r="E350" s="401" t="s">
        <v>327</v>
      </c>
      <c r="F350" s="395"/>
      <c r="G350" s="395"/>
      <c r="H350" s="396" t="e">
        <f t="shared" si="5"/>
        <v>#DIV/0!</v>
      </c>
    </row>
    <row r="351" spans="1:8" ht="15" customHeight="1">
      <c r="A351" s="627"/>
      <c r="B351" s="631"/>
      <c r="C351" s="393">
        <v>430</v>
      </c>
      <c r="D351" s="393">
        <v>0</v>
      </c>
      <c r="E351" s="401" t="s">
        <v>324</v>
      </c>
      <c r="F351" s="395"/>
      <c r="G351" s="395"/>
      <c r="H351" s="396" t="e">
        <f t="shared" si="5"/>
        <v>#DIV/0!</v>
      </c>
    </row>
    <row r="352" spans="1:8" ht="15" customHeight="1">
      <c r="A352" s="627"/>
      <c r="B352" s="414">
        <v>85141</v>
      </c>
      <c r="C352" s="393"/>
      <c r="D352" s="393"/>
      <c r="E352" s="404" t="s">
        <v>383</v>
      </c>
      <c r="F352" s="395">
        <f>F353</f>
        <v>0</v>
      </c>
      <c r="G352" s="395">
        <f>G353</f>
        <v>0</v>
      </c>
      <c r="H352" s="396" t="e">
        <f t="shared" si="5"/>
        <v>#DIV/0!</v>
      </c>
    </row>
    <row r="353" spans="1:8" ht="15" customHeight="1">
      <c r="A353" s="627"/>
      <c r="B353" s="414"/>
      <c r="C353" s="393">
        <v>630</v>
      </c>
      <c r="D353" s="393">
        <v>0</v>
      </c>
      <c r="E353" s="404" t="s">
        <v>353</v>
      </c>
      <c r="F353" s="395"/>
      <c r="G353" s="395"/>
      <c r="H353" s="396" t="e">
        <f t="shared" si="5"/>
        <v>#DIV/0!</v>
      </c>
    </row>
    <row r="354" spans="1:8" ht="15" customHeight="1">
      <c r="A354" s="627"/>
      <c r="B354" s="380">
        <v>85156</v>
      </c>
      <c r="C354" s="393"/>
      <c r="D354" s="393"/>
      <c r="E354" s="415" t="s">
        <v>87</v>
      </c>
      <c r="F354" s="395">
        <f>F355+F356</f>
        <v>0</v>
      </c>
      <c r="G354" s="395">
        <f>G355+G356</f>
        <v>0</v>
      </c>
      <c r="H354" s="396" t="e">
        <f t="shared" si="5"/>
        <v>#DIV/0!</v>
      </c>
    </row>
    <row r="355" spans="1:8" ht="15" customHeight="1">
      <c r="A355" s="627"/>
      <c r="B355" s="629"/>
      <c r="C355" s="393">
        <v>413</v>
      </c>
      <c r="D355" s="393">
        <v>0</v>
      </c>
      <c r="E355" s="410" t="s">
        <v>384</v>
      </c>
      <c r="F355" s="395"/>
      <c r="G355" s="395"/>
      <c r="H355" s="396" t="e">
        <f t="shared" si="5"/>
        <v>#DIV/0!</v>
      </c>
    </row>
    <row r="356" spans="1:8" ht="15" customHeight="1">
      <c r="A356" s="627"/>
      <c r="B356" s="631"/>
      <c r="C356" s="393">
        <v>458</v>
      </c>
      <c r="D356" s="393">
        <v>0</v>
      </c>
      <c r="E356" s="381" t="s">
        <v>59</v>
      </c>
      <c r="F356" s="395"/>
      <c r="G356" s="395"/>
      <c r="H356" s="396" t="e">
        <f t="shared" si="5"/>
        <v>#DIV/0!</v>
      </c>
    </row>
    <row r="357" spans="1:8" ht="15" customHeight="1">
      <c r="A357" s="627"/>
      <c r="B357" s="380">
        <v>85195</v>
      </c>
      <c r="C357" s="393"/>
      <c r="D357" s="393"/>
      <c r="E357" s="183" t="s">
        <v>74</v>
      </c>
      <c r="F357" s="395">
        <f>F358</f>
        <v>0</v>
      </c>
      <c r="G357" s="395">
        <f>G358</f>
        <v>0</v>
      </c>
      <c r="H357" s="396" t="e">
        <f t="shared" si="5"/>
        <v>#DIV/0!</v>
      </c>
    </row>
    <row r="358" spans="1:8" ht="15" customHeight="1">
      <c r="A358" s="627"/>
      <c r="B358" s="380"/>
      <c r="C358" s="393">
        <v>401</v>
      </c>
      <c r="D358" s="393">
        <v>0</v>
      </c>
      <c r="E358" s="410" t="s">
        <v>331</v>
      </c>
      <c r="F358" s="395"/>
      <c r="G358" s="395"/>
      <c r="H358" s="396" t="e">
        <f t="shared" si="5"/>
        <v>#DIV/0!</v>
      </c>
    </row>
    <row r="359" spans="1:8" ht="15" customHeight="1">
      <c r="A359" s="387">
        <v>852</v>
      </c>
      <c r="B359" s="387"/>
      <c r="C359" s="388"/>
      <c r="D359" s="388"/>
      <c r="E359" s="407" t="s">
        <v>35</v>
      </c>
      <c r="F359" s="390">
        <f>F360+F387+F390+F411+F418+F439+F460+F477+F481</f>
        <v>0</v>
      </c>
      <c r="G359" s="390">
        <f>G360+G387+G390+G411+G418+G439+G460+G477+G481</f>
        <v>0</v>
      </c>
      <c r="H359" s="391" t="e">
        <f t="shared" si="5"/>
        <v>#DIV/0!</v>
      </c>
    </row>
    <row r="360" spans="1:8" ht="15" customHeight="1">
      <c r="A360" s="627"/>
      <c r="B360" s="380">
        <v>85201</v>
      </c>
      <c r="C360" s="393"/>
      <c r="D360" s="393"/>
      <c r="E360" s="183" t="s">
        <v>88</v>
      </c>
      <c r="F360" s="395">
        <f>SUM(F361:F386)</f>
        <v>0</v>
      </c>
      <c r="G360" s="395">
        <f>SUM(G361:G386)</f>
        <v>0</v>
      </c>
      <c r="H360" s="396" t="e">
        <f t="shared" si="5"/>
        <v>#DIV/0!</v>
      </c>
    </row>
    <row r="361" spans="1:8" ht="15" customHeight="1">
      <c r="A361" s="627"/>
      <c r="B361" s="627"/>
      <c r="C361" s="393">
        <v>232</v>
      </c>
      <c r="D361" s="393">
        <v>0</v>
      </c>
      <c r="E361" s="183" t="s">
        <v>385</v>
      </c>
      <c r="F361" s="395"/>
      <c r="G361" s="395"/>
      <c r="H361" s="396" t="e">
        <f t="shared" si="5"/>
        <v>#DIV/0!</v>
      </c>
    </row>
    <row r="362" spans="1:8" ht="15" customHeight="1">
      <c r="A362" s="627"/>
      <c r="B362" s="627"/>
      <c r="C362" s="393">
        <v>236</v>
      </c>
      <c r="D362" s="393">
        <v>0</v>
      </c>
      <c r="E362" s="183" t="s">
        <v>386</v>
      </c>
      <c r="F362" s="395"/>
      <c r="G362" s="395"/>
      <c r="H362" s="396"/>
    </row>
    <row r="363" spans="1:8" ht="15" customHeight="1">
      <c r="A363" s="627"/>
      <c r="B363" s="627"/>
      <c r="C363" s="393">
        <v>281</v>
      </c>
      <c r="D363" s="393">
        <v>0</v>
      </c>
      <c r="E363" s="417" t="s">
        <v>387</v>
      </c>
      <c r="F363" s="395"/>
      <c r="G363" s="395"/>
      <c r="H363" s="396" t="e">
        <f t="shared" si="5"/>
        <v>#DIV/0!</v>
      </c>
    </row>
    <row r="364" spans="1:8" ht="15" customHeight="1">
      <c r="A364" s="627"/>
      <c r="B364" s="627"/>
      <c r="C364" s="393">
        <v>302</v>
      </c>
      <c r="D364" s="393">
        <v>0</v>
      </c>
      <c r="E364" s="411" t="s">
        <v>330</v>
      </c>
      <c r="F364" s="395"/>
      <c r="G364" s="395"/>
      <c r="H364" s="396" t="e">
        <f t="shared" si="5"/>
        <v>#DIV/0!</v>
      </c>
    </row>
    <row r="365" spans="1:8" ht="15" customHeight="1">
      <c r="A365" s="627"/>
      <c r="B365" s="627"/>
      <c r="C365" s="393">
        <v>311</v>
      </c>
      <c r="D365" s="393">
        <v>0</v>
      </c>
      <c r="E365" s="410" t="s">
        <v>388</v>
      </c>
      <c r="F365" s="395"/>
      <c r="G365" s="395"/>
      <c r="H365" s="396" t="e">
        <f t="shared" si="5"/>
        <v>#DIV/0!</v>
      </c>
    </row>
    <row r="366" spans="1:8" ht="15" customHeight="1">
      <c r="A366" s="627"/>
      <c r="B366" s="627"/>
      <c r="C366" s="393">
        <v>401</v>
      </c>
      <c r="D366" s="393">
        <v>0</v>
      </c>
      <c r="E366" s="410" t="s">
        <v>331</v>
      </c>
      <c r="F366" s="395"/>
      <c r="G366" s="395"/>
      <c r="H366" s="396" t="e">
        <f t="shared" si="5"/>
        <v>#DIV/0!</v>
      </c>
    </row>
    <row r="367" spans="1:8" ht="15" customHeight="1">
      <c r="A367" s="627"/>
      <c r="B367" s="627"/>
      <c r="C367" s="393">
        <v>404</v>
      </c>
      <c r="D367" s="393">
        <v>0</v>
      </c>
      <c r="E367" s="410" t="s">
        <v>332</v>
      </c>
      <c r="F367" s="395"/>
      <c r="G367" s="395"/>
      <c r="H367" s="396" t="e">
        <f t="shared" si="5"/>
        <v>#DIV/0!</v>
      </c>
    </row>
    <row r="368" spans="1:8" ht="15" customHeight="1">
      <c r="A368" s="627"/>
      <c r="B368" s="627"/>
      <c r="C368" s="393">
        <v>411</v>
      </c>
      <c r="D368" s="393">
        <v>0</v>
      </c>
      <c r="E368" s="410" t="s">
        <v>333</v>
      </c>
      <c r="F368" s="395"/>
      <c r="G368" s="395"/>
      <c r="H368" s="396" t="e">
        <f t="shared" si="5"/>
        <v>#DIV/0!</v>
      </c>
    </row>
    <row r="369" spans="1:8" ht="15" customHeight="1">
      <c r="A369" s="627"/>
      <c r="B369" s="627"/>
      <c r="C369" s="393">
        <v>412</v>
      </c>
      <c r="D369" s="393">
        <v>0</v>
      </c>
      <c r="E369" s="410" t="s">
        <v>334</v>
      </c>
      <c r="F369" s="395"/>
      <c r="G369" s="395"/>
      <c r="H369" s="396" t="e">
        <f t="shared" si="5"/>
        <v>#DIV/0!</v>
      </c>
    </row>
    <row r="370" spans="1:8" ht="15" customHeight="1">
      <c r="A370" s="627"/>
      <c r="B370" s="627"/>
      <c r="C370" s="393">
        <v>417</v>
      </c>
      <c r="D370" s="393">
        <v>0</v>
      </c>
      <c r="E370" s="401" t="s">
        <v>335</v>
      </c>
      <c r="F370" s="395"/>
      <c r="G370" s="395"/>
      <c r="H370" s="396" t="e">
        <f t="shared" si="5"/>
        <v>#DIV/0!</v>
      </c>
    </row>
    <row r="371" spans="1:8" ht="15" customHeight="1">
      <c r="A371" s="627"/>
      <c r="B371" s="627"/>
      <c r="C371" s="393">
        <v>421</v>
      </c>
      <c r="D371" s="393">
        <v>0</v>
      </c>
      <c r="E371" s="410" t="s">
        <v>327</v>
      </c>
      <c r="F371" s="395"/>
      <c r="G371" s="395"/>
      <c r="H371" s="396" t="e">
        <f t="shared" si="5"/>
        <v>#DIV/0!</v>
      </c>
    </row>
    <row r="372" spans="1:8" ht="15" customHeight="1">
      <c r="A372" s="627"/>
      <c r="B372" s="627"/>
      <c r="C372" s="393">
        <v>422</v>
      </c>
      <c r="D372" s="393">
        <v>0</v>
      </c>
      <c r="E372" s="410" t="s">
        <v>380</v>
      </c>
      <c r="F372" s="395"/>
      <c r="G372" s="395"/>
      <c r="H372" s="396" t="e">
        <f t="shared" si="5"/>
        <v>#DIV/0!</v>
      </c>
    </row>
    <row r="373" spans="1:8" ht="15" customHeight="1">
      <c r="A373" s="627"/>
      <c r="B373" s="627"/>
      <c r="C373" s="393">
        <v>424</v>
      </c>
      <c r="D373" s="393">
        <v>0</v>
      </c>
      <c r="E373" s="410" t="s">
        <v>358</v>
      </c>
      <c r="F373" s="395"/>
      <c r="G373" s="395"/>
      <c r="H373" s="396" t="e">
        <f t="shared" si="5"/>
        <v>#DIV/0!</v>
      </c>
    </row>
    <row r="374" spans="1:8" ht="15" customHeight="1">
      <c r="A374" s="627"/>
      <c r="B374" s="627"/>
      <c r="C374" s="393">
        <v>426</v>
      </c>
      <c r="D374" s="393">
        <v>0</v>
      </c>
      <c r="E374" s="410" t="s">
        <v>336</v>
      </c>
      <c r="F374" s="395"/>
      <c r="G374" s="395"/>
      <c r="H374" s="396" t="e">
        <f t="shared" si="5"/>
        <v>#DIV/0!</v>
      </c>
    </row>
    <row r="375" spans="1:8" ht="15" customHeight="1">
      <c r="A375" s="627"/>
      <c r="B375" s="627"/>
      <c r="C375" s="393">
        <v>427</v>
      </c>
      <c r="D375" s="393">
        <v>0</v>
      </c>
      <c r="E375" s="410" t="s">
        <v>337</v>
      </c>
      <c r="F375" s="395"/>
      <c r="G375" s="395"/>
      <c r="H375" s="396" t="e">
        <f t="shared" si="5"/>
        <v>#DIV/0!</v>
      </c>
    </row>
    <row r="376" spans="1:8" ht="15" customHeight="1">
      <c r="A376" s="627"/>
      <c r="B376" s="627"/>
      <c r="C376" s="393">
        <v>428</v>
      </c>
      <c r="D376" s="393">
        <v>0</v>
      </c>
      <c r="E376" s="401" t="s">
        <v>338</v>
      </c>
      <c r="F376" s="395"/>
      <c r="G376" s="395"/>
      <c r="H376" s="396" t="e">
        <f t="shared" si="5"/>
        <v>#DIV/0!</v>
      </c>
    </row>
    <row r="377" spans="1:8" ht="15" customHeight="1">
      <c r="A377" s="627"/>
      <c r="B377" s="627"/>
      <c r="C377" s="393">
        <v>430</v>
      </c>
      <c r="D377" s="393">
        <v>0</v>
      </c>
      <c r="E377" s="410" t="s">
        <v>324</v>
      </c>
      <c r="F377" s="395"/>
      <c r="G377" s="395"/>
      <c r="H377" s="396" t="e">
        <f t="shared" si="5"/>
        <v>#DIV/0!</v>
      </c>
    </row>
    <row r="378" spans="1:8" ht="15" customHeight="1">
      <c r="A378" s="627"/>
      <c r="B378" s="627"/>
      <c r="C378" s="393">
        <v>435</v>
      </c>
      <c r="D378" s="393">
        <v>0</v>
      </c>
      <c r="E378" s="401" t="s">
        <v>389</v>
      </c>
      <c r="F378" s="395"/>
      <c r="G378" s="395"/>
      <c r="H378" s="396" t="e">
        <f t="shared" si="5"/>
        <v>#DIV/0!</v>
      </c>
    </row>
    <row r="379" spans="1:8" ht="15" customHeight="1">
      <c r="A379" s="627"/>
      <c r="B379" s="627"/>
      <c r="C379" s="393">
        <v>436</v>
      </c>
      <c r="D379" s="393">
        <v>0</v>
      </c>
      <c r="E379" s="402" t="s">
        <v>340</v>
      </c>
      <c r="F379" s="395"/>
      <c r="G379" s="395"/>
      <c r="H379" s="396" t="e">
        <f t="shared" si="5"/>
        <v>#DIV/0!</v>
      </c>
    </row>
    <row r="380" spans="1:8" ht="15" customHeight="1">
      <c r="A380" s="627"/>
      <c r="B380" s="627"/>
      <c r="C380" s="393">
        <v>437</v>
      </c>
      <c r="D380" s="393">
        <v>0</v>
      </c>
      <c r="E380" s="402" t="s">
        <v>341</v>
      </c>
      <c r="F380" s="395"/>
      <c r="G380" s="395"/>
      <c r="H380" s="396" t="e">
        <f t="shared" si="5"/>
        <v>#DIV/0!</v>
      </c>
    </row>
    <row r="381" spans="1:8" ht="15" customHeight="1">
      <c r="A381" s="627"/>
      <c r="B381" s="627"/>
      <c r="C381" s="393">
        <v>441</v>
      </c>
      <c r="D381" s="393">
        <v>0</v>
      </c>
      <c r="E381" s="410" t="s">
        <v>342</v>
      </c>
      <c r="F381" s="395"/>
      <c r="G381" s="395"/>
      <c r="H381" s="396" t="e">
        <f t="shared" si="5"/>
        <v>#DIV/0!</v>
      </c>
    </row>
    <row r="382" spans="1:8" ht="15" customHeight="1">
      <c r="A382" s="627"/>
      <c r="B382" s="627"/>
      <c r="C382" s="393">
        <v>443</v>
      </c>
      <c r="D382" s="393">
        <v>0</v>
      </c>
      <c r="E382" s="410" t="s">
        <v>356</v>
      </c>
      <c r="F382" s="395"/>
      <c r="G382" s="395"/>
      <c r="H382" s="396" t="e">
        <f t="shared" si="5"/>
        <v>#DIV/0!</v>
      </c>
    </row>
    <row r="383" spans="1:8" ht="15" customHeight="1">
      <c r="A383" s="627"/>
      <c r="B383" s="627"/>
      <c r="C383" s="393">
        <v>444</v>
      </c>
      <c r="D383" s="393">
        <v>0</v>
      </c>
      <c r="E383" s="410" t="s">
        <v>343</v>
      </c>
      <c r="F383" s="395"/>
      <c r="G383" s="395"/>
      <c r="H383" s="396" t="e">
        <f t="shared" si="5"/>
        <v>#DIV/0!</v>
      </c>
    </row>
    <row r="384" spans="1:8" ht="15" customHeight="1">
      <c r="A384" s="627"/>
      <c r="B384" s="627"/>
      <c r="C384" s="393">
        <v>448</v>
      </c>
      <c r="D384" s="393">
        <v>0</v>
      </c>
      <c r="E384" s="410" t="s">
        <v>344</v>
      </c>
      <c r="F384" s="395"/>
      <c r="G384" s="395"/>
      <c r="H384" s="396" t="e">
        <f t="shared" si="5"/>
        <v>#DIV/0!</v>
      </c>
    </row>
    <row r="385" spans="1:8" ht="15" customHeight="1">
      <c r="A385" s="627"/>
      <c r="B385" s="627"/>
      <c r="C385" s="393">
        <v>470</v>
      </c>
      <c r="D385" s="393">
        <v>0</v>
      </c>
      <c r="E385" s="402" t="s">
        <v>348</v>
      </c>
      <c r="F385" s="395"/>
      <c r="G385" s="395"/>
      <c r="H385" s="396" t="e">
        <f t="shared" si="5"/>
        <v>#DIV/0!</v>
      </c>
    </row>
    <row r="386" spans="1:8" ht="15" customHeight="1">
      <c r="A386" s="627"/>
      <c r="B386" s="627"/>
      <c r="C386" s="393">
        <v>605</v>
      </c>
      <c r="D386" s="393">
        <v>0</v>
      </c>
      <c r="E386" s="402" t="s">
        <v>349</v>
      </c>
      <c r="F386" s="395"/>
      <c r="G386" s="395"/>
      <c r="H386" s="396" t="e">
        <f t="shared" si="5"/>
        <v>#DIV/0!</v>
      </c>
    </row>
    <row r="387" spans="1:8" ht="15" customHeight="1">
      <c r="A387" s="627"/>
      <c r="B387" s="380">
        <v>85202</v>
      </c>
      <c r="C387" s="393"/>
      <c r="D387" s="393"/>
      <c r="E387" s="183" t="s">
        <v>89</v>
      </c>
      <c r="F387" s="395">
        <f>SUM(F388:F389)</f>
        <v>0</v>
      </c>
      <c r="G387" s="395">
        <f>SUM(G388:G389)</f>
        <v>0</v>
      </c>
      <c r="H387" s="396" t="e">
        <f t="shared" si="5"/>
        <v>#DIV/0!</v>
      </c>
    </row>
    <row r="388" spans="1:8" ht="15" customHeight="1">
      <c r="A388" s="627"/>
      <c r="B388" s="627"/>
      <c r="C388" s="393">
        <v>282</v>
      </c>
      <c r="D388" s="393">
        <v>0</v>
      </c>
      <c r="E388" s="404" t="s">
        <v>390</v>
      </c>
      <c r="F388" s="395"/>
      <c r="G388" s="395"/>
      <c r="H388" s="396" t="e">
        <f t="shared" si="5"/>
        <v>#DIV/0!</v>
      </c>
    </row>
    <row r="389" spans="1:8" ht="15" customHeight="1">
      <c r="A389" s="627"/>
      <c r="B389" s="627"/>
      <c r="C389" s="393">
        <v>605</v>
      </c>
      <c r="D389" s="393">
        <v>0</v>
      </c>
      <c r="E389" s="402" t="s">
        <v>349</v>
      </c>
      <c r="F389" s="395"/>
      <c r="G389" s="395"/>
      <c r="H389" s="396" t="e">
        <f t="shared" si="5"/>
        <v>#DIV/0!</v>
      </c>
    </row>
    <row r="390" spans="1:8" ht="15" customHeight="1">
      <c r="A390" s="627"/>
      <c r="B390" s="380">
        <v>85203</v>
      </c>
      <c r="C390" s="393"/>
      <c r="D390" s="393"/>
      <c r="E390" s="183" t="s">
        <v>90</v>
      </c>
      <c r="F390" s="395">
        <f>SUM(F391:F410)</f>
        <v>0</v>
      </c>
      <c r="G390" s="395">
        <f>SUM(G391:G410)</f>
        <v>0</v>
      </c>
      <c r="H390" s="396" t="e">
        <f t="shared" si="5"/>
        <v>#DIV/0!</v>
      </c>
    </row>
    <row r="391" spans="1:8" ht="15" customHeight="1">
      <c r="A391" s="627"/>
      <c r="B391" s="627"/>
      <c r="C391" s="393">
        <v>302</v>
      </c>
      <c r="D391" s="393">
        <v>0</v>
      </c>
      <c r="E391" s="411" t="s">
        <v>330</v>
      </c>
      <c r="F391" s="395"/>
      <c r="G391" s="395"/>
      <c r="H391" s="396" t="e">
        <f t="shared" si="5"/>
        <v>#DIV/0!</v>
      </c>
    </row>
    <row r="392" spans="1:8" ht="15" customHeight="1">
      <c r="A392" s="627"/>
      <c r="B392" s="627"/>
      <c r="C392" s="393">
        <v>401</v>
      </c>
      <c r="D392" s="393">
        <v>0</v>
      </c>
      <c r="E392" s="410" t="s">
        <v>331</v>
      </c>
      <c r="F392" s="395"/>
      <c r="G392" s="395"/>
      <c r="H392" s="396" t="e">
        <f t="shared" si="5"/>
        <v>#DIV/0!</v>
      </c>
    </row>
    <row r="393" spans="1:8" ht="15" customHeight="1">
      <c r="A393" s="627"/>
      <c r="B393" s="627"/>
      <c r="C393" s="393">
        <v>404</v>
      </c>
      <c r="D393" s="393">
        <v>0</v>
      </c>
      <c r="E393" s="410" t="s">
        <v>332</v>
      </c>
      <c r="F393" s="395"/>
      <c r="G393" s="395"/>
      <c r="H393" s="396" t="e">
        <f t="shared" si="5"/>
        <v>#DIV/0!</v>
      </c>
    </row>
    <row r="394" spans="1:8" ht="15" customHeight="1">
      <c r="A394" s="627"/>
      <c r="B394" s="627"/>
      <c r="C394" s="393">
        <v>411</v>
      </c>
      <c r="D394" s="393">
        <v>0</v>
      </c>
      <c r="E394" s="410" t="s">
        <v>333</v>
      </c>
      <c r="F394" s="395"/>
      <c r="G394" s="395"/>
      <c r="H394" s="396" t="e">
        <f t="shared" si="5"/>
        <v>#DIV/0!</v>
      </c>
    </row>
    <row r="395" spans="1:8" ht="15" customHeight="1">
      <c r="A395" s="627"/>
      <c r="B395" s="627"/>
      <c r="C395" s="393">
        <v>412</v>
      </c>
      <c r="D395" s="393">
        <v>0</v>
      </c>
      <c r="E395" s="410" t="s">
        <v>334</v>
      </c>
      <c r="F395" s="395"/>
      <c r="G395" s="395"/>
      <c r="H395" s="396" t="e">
        <f t="shared" si="5"/>
        <v>#DIV/0!</v>
      </c>
    </row>
    <row r="396" spans="1:8" ht="15" customHeight="1">
      <c r="A396" s="627"/>
      <c r="B396" s="627"/>
      <c r="C396" s="393">
        <v>417</v>
      </c>
      <c r="D396" s="393">
        <v>0</v>
      </c>
      <c r="E396" s="401" t="s">
        <v>335</v>
      </c>
      <c r="F396" s="395"/>
      <c r="G396" s="395"/>
      <c r="H396" s="396" t="e">
        <f t="shared" si="5"/>
        <v>#DIV/0!</v>
      </c>
    </row>
    <row r="397" spans="1:8" ht="15" customHeight="1">
      <c r="A397" s="627"/>
      <c r="B397" s="627"/>
      <c r="C397" s="393">
        <v>421</v>
      </c>
      <c r="D397" s="393">
        <v>0</v>
      </c>
      <c r="E397" s="410" t="s">
        <v>327</v>
      </c>
      <c r="F397" s="395"/>
      <c r="G397" s="395"/>
      <c r="H397" s="396" t="e">
        <f t="shared" si="5"/>
        <v>#DIV/0!</v>
      </c>
    </row>
    <row r="398" spans="1:8" ht="15" customHeight="1">
      <c r="A398" s="627"/>
      <c r="B398" s="627"/>
      <c r="C398" s="393">
        <v>426</v>
      </c>
      <c r="D398" s="393">
        <v>0</v>
      </c>
      <c r="E398" s="410" t="s">
        <v>336</v>
      </c>
      <c r="F398" s="395"/>
      <c r="G398" s="395"/>
      <c r="H398" s="396" t="e">
        <f t="shared" si="5"/>
        <v>#DIV/0!</v>
      </c>
    </row>
    <row r="399" spans="1:8" ht="15" customHeight="1">
      <c r="A399" s="627"/>
      <c r="B399" s="627"/>
      <c r="C399" s="393">
        <v>427</v>
      </c>
      <c r="D399" s="393">
        <v>0</v>
      </c>
      <c r="E399" s="410" t="s">
        <v>337</v>
      </c>
      <c r="F399" s="395"/>
      <c r="G399" s="395"/>
      <c r="H399" s="396" t="e">
        <f t="shared" si="5"/>
        <v>#DIV/0!</v>
      </c>
    </row>
    <row r="400" spans="1:8" ht="15" customHeight="1">
      <c r="A400" s="627"/>
      <c r="B400" s="627"/>
      <c r="C400" s="393">
        <v>428</v>
      </c>
      <c r="D400" s="393">
        <v>0</v>
      </c>
      <c r="E400" s="401" t="s">
        <v>338</v>
      </c>
      <c r="F400" s="395"/>
      <c r="G400" s="395"/>
      <c r="H400" s="396" t="e">
        <f t="shared" si="5"/>
        <v>#DIV/0!</v>
      </c>
    </row>
    <row r="401" spans="1:8" ht="15" customHeight="1">
      <c r="A401" s="627"/>
      <c r="B401" s="627"/>
      <c r="C401" s="393">
        <v>430</v>
      </c>
      <c r="D401" s="393">
        <v>0</v>
      </c>
      <c r="E401" s="410" t="s">
        <v>324</v>
      </c>
      <c r="F401" s="395"/>
      <c r="G401" s="395"/>
      <c r="H401" s="396" t="e">
        <f t="shared" si="5"/>
        <v>#DIV/0!</v>
      </c>
    </row>
    <row r="402" spans="1:8" ht="15" customHeight="1">
      <c r="A402" s="627"/>
      <c r="B402" s="627"/>
      <c r="C402" s="393">
        <v>435</v>
      </c>
      <c r="D402" s="393">
        <v>0</v>
      </c>
      <c r="E402" s="402" t="s">
        <v>339</v>
      </c>
      <c r="F402" s="395"/>
      <c r="G402" s="395"/>
      <c r="H402" s="396" t="e">
        <f t="shared" si="5"/>
        <v>#DIV/0!</v>
      </c>
    </row>
    <row r="403" spans="1:8" ht="15" customHeight="1">
      <c r="A403" s="627"/>
      <c r="B403" s="627"/>
      <c r="C403" s="393">
        <v>436</v>
      </c>
      <c r="D403" s="393">
        <v>0</v>
      </c>
      <c r="E403" s="402" t="s">
        <v>340</v>
      </c>
      <c r="F403" s="395"/>
      <c r="G403" s="395"/>
      <c r="H403" s="396" t="e">
        <f t="shared" si="5"/>
        <v>#DIV/0!</v>
      </c>
    </row>
    <row r="404" spans="1:8" ht="15" customHeight="1">
      <c r="A404" s="627"/>
      <c r="B404" s="627"/>
      <c r="C404" s="393">
        <v>437</v>
      </c>
      <c r="D404" s="393">
        <v>0</v>
      </c>
      <c r="E404" s="402" t="s">
        <v>341</v>
      </c>
      <c r="F404" s="395"/>
      <c r="G404" s="395"/>
      <c r="H404" s="396" t="e">
        <f t="shared" si="5"/>
        <v>#DIV/0!</v>
      </c>
    </row>
    <row r="405" spans="1:8" ht="15" customHeight="1">
      <c r="A405" s="627"/>
      <c r="B405" s="627"/>
      <c r="C405" s="393">
        <v>441</v>
      </c>
      <c r="D405" s="393">
        <v>0</v>
      </c>
      <c r="E405" s="410" t="s">
        <v>342</v>
      </c>
      <c r="F405" s="395"/>
      <c r="G405" s="395"/>
      <c r="H405" s="396" t="e">
        <f t="shared" si="5"/>
        <v>#DIV/0!</v>
      </c>
    </row>
    <row r="406" spans="1:8" ht="15" customHeight="1">
      <c r="A406" s="627"/>
      <c r="B406" s="627"/>
      <c r="C406" s="393">
        <v>443</v>
      </c>
      <c r="D406" s="393">
        <v>0</v>
      </c>
      <c r="E406" s="410" t="s">
        <v>356</v>
      </c>
      <c r="F406" s="395"/>
      <c r="G406" s="395"/>
      <c r="H406" s="396" t="e">
        <f t="shared" si="5"/>
        <v>#DIV/0!</v>
      </c>
    </row>
    <row r="407" spans="1:8" ht="15" customHeight="1">
      <c r="A407" s="627"/>
      <c r="B407" s="627"/>
      <c r="C407" s="393">
        <v>444</v>
      </c>
      <c r="D407" s="393">
        <v>0</v>
      </c>
      <c r="E407" s="410" t="s">
        <v>343</v>
      </c>
      <c r="F407" s="395"/>
      <c r="G407" s="395"/>
      <c r="H407" s="396" t="e">
        <f t="shared" si="5"/>
        <v>#DIV/0!</v>
      </c>
    </row>
    <row r="408" spans="1:8" ht="15" customHeight="1">
      <c r="A408" s="627"/>
      <c r="B408" s="627"/>
      <c r="C408" s="393">
        <v>448</v>
      </c>
      <c r="D408" s="393">
        <v>0</v>
      </c>
      <c r="E408" s="410" t="s">
        <v>344</v>
      </c>
      <c r="F408" s="395"/>
      <c r="G408" s="395"/>
      <c r="H408" s="396" t="e">
        <f t="shared" si="5"/>
        <v>#DIV/0!</v>
      </c>
    </row>
    <row r="409" spans="1:8" ht="15" customHeight="1">
      <c r="A409" s="627"/>
      <c r="B409" s="627"/>
      <c r="C409" s="393">
        <v>452</v>
      </c>
      <c r="D409" s="393">
        <v>0</v>
      </c>
      <c r="E409" s="410" t="s">
        <v>346</v>
      </c>
      <c r="F409" s="395"/>
      <c r="G409" s="395"/>
      <c r="H409" s="396" t="e">
        <f t="shared" ref="H409:H472" si="6">G409/F409*100</f>
        <v>#DIV/0!</v>
      </c>
    </row>
    <row r="410" spans="1:8" ht="15" customHeight="1">
      <c r="A410" s="627"/>
      <c r="B410" s="627"/>
      <c r="C410" s="393">
        <v>470</v>
      </c>
      <c r="D410" s="393">
        <v>0</v>
      </c>
      <c r="E410" s="402" t="s">
        <v>348</v>
      </c>
      <c r="F410" s="395"/>
      <c r="G410" s="395"/>
      <c r="H410" s="396" t="e">
        <f t="shared" si="6"/>
        <v>#DIV/0!</v>
      </c>
    </row>
    <row r="411" spans="1:8" ht="15" customHeight="1">
      <c r="A411" s="627"/>
      <c r="B411" s="380">
        <v>85204</v>
      </c>
      <c r="C411" s="393"/>
      <c r="D411" s="393"/>
      <c r="E411" s="183" t="s">
        <v>113</v>
      </c>
      <c r="F411" s="395">
        <f>SUM(F412:F417)</f>
        <v>0</v>
      </c>
      <c r="G411" s="395">
        <f>SUM(G412:G417)</f>
        <v>0</v>
      </c>
      <c r="H411" s="396" t="e">
        <f t="shared" si="6"/>
        <v>#DIV/0!</v>
      </c>
    </row>
    <row r="412" spans="1:8" ht="15" customHeight="1">
      <c r="A412" s="627"/>
      <c r="B412" s="629"/>
      <c r="C412" s="393">
        <v>232</v>
      </c>
      <c r="D412" s="393">
        <v>0</v>
      </c>
      <c r="E412" s="404" t="s">
        <v>391</v>
      </c>
      <c r="F412" s="395"/>
      <c r="G412" s="395"/>
      <c r="H412" s="396" t="e">
        <f t="shared" si="6"/>
        <v>#DIV/0!</v>
      </c>
    </row>
    <row r="413" spans="1:8" ht="15" customHeight="1">
      <c r="A413" s="627"/>
      <c r="B413" s="630"/>
      <c r="C413" s="393">
        <v>311</v>
      </c>
      <c r="D413" s="393">
        <v>0</v>
      </c>
      <c r="E413" s="199" t="s">
        <v>388</v>
      </c>
      <c r="F413" s="395"/>
      <c r="G413" s="395"/>
      <c r="H413" s="396" t="e">
        <f t="shared" si="6"/>
        <v>#DIV/0!</v>
      </c>
    </row>
    <row r="414" spans="1:8" ht="15" customHeight="1">
      <c r="A414" s="627"/>
      <c r="B414" s="630"/>
      <c r="C414" s="393">
        <v>411</v>
      </c>
      <c r="D414" s="393">
        <v>0</v>
      </c>
      <c r="E414" s="410" t="s">
        <v>333</v>
      </c>
      <c r="F414" s="395"/>
      <c r="G414" s="395"/>
      <c r="H414" s="396" t="e">
        <f t="shared" si="6"/>
        <v>#DIV/0!</v>
      </c>
    </row>
    <row r="415" spans="1:8" ht="15" customHeight="1">
      <c r="A415" s="627"/>
      <c r="B415" s="630"/>
      <c r="C415" s="393">
        <v>412</v>
      </c>
      <c r="D415" s="393">
        <v>0</v>
      </c>
      <c r="E415" s="410" t="s">
        <v>334</v>
      </c>
      <c r="F415" s="395"/>
      <c r="G415" s="395"/>
      <c r="H415" s="396" t="e">
        <f t="shared" si="6"/>
        <v>#DIV/0!</v>
      </c>
    </row>
    <row r="416" spans="1:8" ht="15" customHeight="1">
      <c r="A416" s="627"/>
      <c r="B416" s="630"/>
      <c r="C416" s="393">
        <v>417</v>
      </c>
      <c r="D416" s="393">
        <v>0</v>
      </c>
      <c r="E416" s="401" t="s">
        <v>335</v>
      </c>
      <c r="F416" s="395"/>
      <c r="G416" s="395"/>
      <c r="H416" s="396" t="e">
        <f t="shared" si="6"/>
        <v>#DIV/0!</v>
      </c>
    </row>
    <row r="417" spans="1:8" ht="15" customHeight="1">
      <c r="A417" s="627"/>
      <c r="B417" s="631"/>
      <c r="C417" s="393">
        <v>430</v>
      </c>
      <c r="D417" s="393">
        <v>0</v>
      </c>
      <c r="E417" s="410" t="s">
        <v>324</v>
      </c>
      <c r="F417" s="395"/>
      <c r="G417" s="395"/>
      <c r="H417" s="396" t="e">
        <f t="shared" si="6"/>
        <v>#DIV/0!</v>
      </c>
    </row>
    <row r="418" spans="1:8" ht="15" customHeight="1">
      <c r="A418" s="627"/>
      <c r="B418" s="380">
        <v>85205</v>
      </c>
      <c r="C418" s="393"/>
      <c r="D418" s="393"/>
      <c r="E418" s="183" t="s">
        <v>210</v>
      </c>
      <c r="F418" s="395">
        <f>SUM(F419:F438)</f>
        <v>0</v>
      </c>
      <c r="G418" s="395">
        <f>SUM(G419:G438)</f>
        <v>0</v>
      </c>
      <c r="H418" s="396" t="e">
        <f t="shared" si="6"/>
        <v>#DIV/0!</v>
      </c>
    </row>
    <row r="419" spans="1:8" ht="15" customHeight="1">
      <c r="A419" s="627"/>
      <c r="B419" s="627"/>
      <c r="C419" s="393">
        <v>302</v>
      </c>
      <c r="D419" s="393">
        <v>0</v>
      </c>
      <c r="E419" s="411" t="s">
        <v>330</v>
      </c>
      <c r="F419" s="395"/>
      <c r="G419" s="395"/>
      <c r="H419" s="396" t="e">
        <f t="shared" si="6"/>
        <v>#DIV/0!</v>
      </c>
    </row>
    <row r="420" spans="1:8">
      <c r="A420" s="627"/>
      <c r="B420" s="627"/>
      <c r="C420" s="393">
        <v>401</v>
      </c>
      <c r="D420" s="393">
        <v>0</v>
      </c>
      <c r="E420" s="410" t="s">
        <v>331</v>
      </c>
      <c r="F420" s="395"/>
      <c r="G420" s="395"/>
      <c r="H420" s="396" t="e">
        <f t="shared" si="6"/>
        <v>#DIV/0!</v>
      </c>
    </row>
    <row r="421" spans="1:8">
      <c r="A421" s="627"/>
      <c r="B421" s="627"/>
      <c r="C421" s="393">
        <v>404</v>
      </c>
      <c r="D421" s="393">
        <v>0</v>
      </c>
      <c r="E421" s="410" t="s">
        <v>332</v>
      </c>
      <c r="F421" s="395"/>
      <c r="G421" s="395"/>
      <c r="H421" s="396" t="e">
        <f t="shared" si="6"/>
        <v>#DIV/0!</v>
      </c>
    </row>
    <row r="422" spans="1:8">
      <c r="A422" s="627"/>
      <c r="B422" s="627"/>
      <c r="C422" s="393">
        <v>411</v>
      </c>
      <c r="D422" s="393">
        <v>0</v>
      </c>
      <c r="E422" s="410" t="s">
        <v>333</v>
      </c>
      <c r="F422" s="395"/>
      <c r="G422" s="395"/>
      <c r="H422" s="396" t="e">
        <f t="shared" si="6"/>
        <v>#DIV/0!</v>
      </c>
    </row>
    <row r="423" spans="1:8">
      <c r="A423" s="627"/>
      <c r="B423" s="627"/>
      <c r="C423" s="393">
        <v>412</v>
      </c>
      <c r="D423" s="393">
        <v>0</v>
      </c>
      <c r="E423" s="410" t="s">
        <v>334</v>
      </c>
      <c r="F423" s="395"/>
      <c r="G423" s="395"/>
      <c r="H423" s="396" t="e">
        <f t="shared" si="6"/>
        <v>#DIV/0!</v>
      </c>
    </row>
    <row r="424" spans="1:8">
      <c r="A424" s="627"/>
      <c r="B424" s="627"/>
      <c r="C424" s="393">
        <v>417</v>
      </c>
      <c r="D424" s="393">
        <v>0</v>
      </c>
      <c r="E424" s="401" t="s">
        <v>335</v>
      </c>
      <c r="F424" s="395"/>
      <c r="G424" s="395"/>
      <c r="H424" s="396" t="e">
        <f t="shared" si="6"/>
        <v>#DIV/0!</v>
      </c>
    </row>
    <row r="425" spans="1:8">
      <c r="A425" s="627"/>
      <c r="B425" s="627"/>
      <c r="C425" s="393">
        <v>421</v>
      </c>
      <c r="D425" s="393">
        <v>0</v>
      </c>
      <c r="E425" s="410" t="s">
        <v>327</v>
      </c>
      <c r="F425" s="395"/>
      <c r="G425" s="395"/>
      <c r="H425" s="396" t="e">
        <f t="shared" si="6"/>
        <v>#DIV/0!</v>
      </c>
    </row>
    <row r="426" spans="1:8" ht="15" customHeight="1">
      <c r="A426" s="627"/>
      <c r="B426" s="627"/>
      <c r="C426" s="393">
        <v>422</v>
      </c>
      <c r="D426" s="393">
        <v>0</v>
      </c>
      <c r="E426" s="404" t="s">
        <v>380</v>
      </c>
      <c r="F426" s="395"/>
      <c r="G426" s="395"/>
      <c r="H426" s="396" t="e">
        <f t="shared" si="6"/>
        <v>#DIV/0!</v>
      </c>
    </row>
    <row r="427" spans="1:8">
      <c r="A427" s="627"/>
      <c r="B427" s="627"/>
      <c r="C427" s="393">
        <v>424</v>
      </c>
      <c r="D427" s="393">
        <v>0</v>
      </c>
      <c r="E427" s="410" t="s">
        <v>358</v>
      </c>
      <c r="F427" s="395"/>
      <c r="G427" s="395"/>
      <c r="H427" s="396" t="e">
        <f t="shared" si="6"/>
        <v>#DIV/0!</v>
      </c>
    </row>
    <row r="428" spans="1:8">
      <c r="A428" s="627"/>
      <c r="B428" s="627"/>
      <c r="C428" s="393">
        <v>426</v>
      </c>
      <c r="D428" s="393">
        <v>0</v>
      </c>
      <c r="E428" s="410" t="s">
        <v>336</v>
      </c>
      <c r="F428" s="395"/>
      <c r="G428" s="395"/>
      <c r="H428" s="396" t="e">
        <f t="shared" si="6"/>
        <v>#DIV/0!</v>
      </c>
    </row>
    <row r="429" spans="1:8">
      <c r="A429" s="627"/>
      <c r="B429" s="627"/>
      <c r="C429" s="393">
        <v>427</v>
      </c>
      <c r="D429" s="393">
        <v>0</v>
      </c>
      <c r="E429" s="410" t="s">
        <v>337</v>
      </c>
      <c r="F429" s="395"/>
      <c r="G429" s="395"/>
      <c r="H429" s="396" t="e">
        <f t="shared" si="6"/>
        <v>#DIV/0!</v>
      </c>
    </row>
    <row r="430" spans="1:8">
      <c r="A430" s="627"/>
      <c r="B430" s="627"/>
      <c r="C430" s="393">
        <v>428</v>
      </c>
      <c r="D430" s="393">
        <v>0</v>
      </c>
      <c r="E430" s="401" t="s">
        <v>338</v>
      </c>
      <c r="F430" s="395"/>
      <c r="G430" s="395"/>
      <c r="H430" s="396" t="e">
        <f t="shared" si="6"/>
        <v>#DIV/0!</v>
      </c>
    </row>
    <row r="431" spans="1:8">
      <c r="A431" s="627"/>
      <c r="B431" s="627"/>
      <c r="C431" s="393">
        <v>430</v>
      </c>
      <c r="D431" s="393">
        <v>0</v>
      </c>
      <c r="E431" s="410" t="s">
        <v>324</v>
      </c>
      <c r="F431" s="395"/>
      <c r="G431" s="395"/>
      <c r="H431" s="396" t="e">
        <f t="shared" si="6"/>
        <v>#DIV/0!</v>
      </c>
    </row>
    <row r="432" spans="1:8">
      <c r="A432" s="627"/>
      <c r="B432" s="627"/>
      <c r="C432" s="393">
        <v>435</v>
      </c>
      <c r="D432" s="393">
        <v>0</v>
      </c>
      <c r="E432" s="401" t="s">
        <v>339</v>
      </c>
      <c r="F432" s="395"/>
      <c r="G432" s="395"/>
      <c r="H432" s="396" t="e">
        <f t="shared" si="6"/>
        <v>#DIV/0!</v>
      </c>
    </row>
    <row r="433" spans="1:8" ht="15" customHeight="1">
      <c r="A433" s="627"/>
      <c r="B433" s="627"/>
      <c r="C433" s="393">
        <v>436</v>
      </c>
      <c r="D433" s="393">
        <v>0</v>
      </c>
      <c r="E433" s="402" t="s">
        <v>340</v>
      </c>
      <c r="F433" s="395"/>
      <c r="G433" s="395"/>
      <c r="H433" s="396" t="e">
        <f t="shared" si="6"/>
        <v>#DIV/0!</v>
      </c>
    </row>
    <row r="434" spans="1:8" ht="15" customHeight="1">
      <c r="A434" s="627"/>
      <c r="B434" s="627"/>
      <c r="C434" s="393">
        <v>437</v>
      </c>
      <c r="D434" s="393">
        <v>0</v>
      </c>
      <c r="E434" s="402" t="s">
        <v>341</v>
      </c>
      <c r="F434" s="395"/>
      <c r="G434" s="395"/>
      <c r="H434" s="396" t="e">
        <f t="shared" si="6"/>
        <v>#DIV/0!</v>
      </c>
    </row>
    <row r="435" spans="1:8" ht="15" customHeight="1">
      <c r="A435" s="627"/>
      <c r="B435" s="627"/>
      <c r="C435" s="393">
        <v>441</v>
      </c>
      <c r="D435" s="393">
        <v>0</v>
      </c>
      <c r="E435" s="410" t="s">
        <v>342</v>
      </c>
      <c r="F435" s="395"/>
      <c r="G435" s="395"/>
      <c r="H435" s="396" t="e">
        <f t="shared" si="6"/>
        <v>#DIV/0!</v>
      </c>
    </row>
    <row r="436" spans="1:8" ht="15" customHeight="1">
      <c r="A436" s="627"/>
      <c r="B436" s="627"/>
      <c r="C436" s="393">
        <v>444</v>
      </c>
      <c r="D436" s="393">
        <v>0</v>
      </c>
      <c r="E436" s="410" t="s">
        <v>343</v>
      </c>
      <c r="F436" s="395"/>
      <c r="G436" s="395"/>
      <c r="H436" s="396" t="e">
        <f t="shared" si="6"/>
        <v>#DIV/0!</v>
      </c>
    </row>
    <row r="437" spans="1:8" ht="15" customHeight="1">
      <c r="A437" s="627"/>
      <c r="B437" s="627"/>
      <c r="C437" s="393">
        <v>448</v>
      </c>
      <c r="D437" s="393">
        <v>0</v>
      </c>
      <c r="E437" s="410" t="s">
        <v>344</v>
      </c>
      <c r="F437" s="395"/>
      <c r="G437" s="395"/>
      <c r="H437" s="396" t="e">
        <f t="shared" si="6"/>
        <v>#DIV/0!</v>
      </c>
    </row>
    <row r="438" spans="1:8" ht="15" customHeight="1">
      <c r="A438" s="627"/>
      <c r="B438" s="627"/>
      <c r="C438" s="393">
        <v>470</v>
      </c>
      <c r="D438" s="393">
        <v>0</v>
      </c>
      <c r="E438" s="402" t="s">
        <v>348</v>
      </c>
      <c r="F438" s="395"/>
      <c r="G438" s="395"/>
      <c r="H438" s="396" t="e">
        <f t="shared" si="6"/>
        <v>#DIV/0!</v>
      </c>
    </row>
    <row r="439" spans="1:8" ht="15" customHeight="1">
      <c r="A439" s="627"/>
      <c r="B439" s="380">
        <v>85218</v>
      </c>
      <c r="C439" s="393"/>
      <c r="D439" s="393"/>
      <c r="E439" s="183" t="s">
        <v>92</v>
      </c>
      <c r="F439" s="395">
        <f>SUM(F440:F459)</f>
        <v>0</v>
      </c>
      <c r="G439" s="395">
        <f>SUM(G440:G459)</f>
        <v>0</v>
      </c>
      <c r="H439" s="396" t="e">
        <f t="shared" si="6"/>
        <v>#DIV/0!</v>
      </c>
    </row>
    <row r="440" spans="1:8" ht="15" customHeight="1">
      <c r="A440" s="627"/>
      <c r="B440" s="627"/>
      <c r="C440" s="393">
        <v>302</v>
      </c>
      <c r="D440" s="393">
        <v>0</v>
      </c>
      <c r="E440" s="411" t="s">
        <v>330</v>
      </c>
      <c r="F440" s="395"/>
      <c r="G440" s="395"/>
      <c r="H440" s="396" t="e">
        <f t="shared" si="6"/>
        <v>#DIV/0!</v>
      </c>
    </row>
    <row r="441" spans="1:8" ht="15" customHeight="1">
      <c r="A441" s="627"/>
      <c r="B441" s="627"/>
      <c r="C441" s="393">
        <v>401</v>
      </c>
      <c r="D441" s="393">
        <v>0</v>
      </c>
      <c r="E441" s="410" t="s">
        <v>331</v>
      </c>
      <c r="F441" s="395"/>
      <c r="G441" s="395"/>
      <c r="H441" s="396" t="e">
        <f t="shared" si="6"/>
        <v>#DIV/0!</v>
      </c>
    </row>
    <row r="442" spans="1:8" ht="15" customHeight="1">
      <c r="A442" s="627"/>
      <c r="B442" s="627"/>
      <c r="C442" s="393">
        <v>404</v>
      </c>
      <c r="D442" s="393">
        <v>0</v>
      </c>
      <c r="E442" s="410" t="s">
        <v>332</v>
      </c>
      <c r="F442" s="395"/>
      <c r="G442" s="395"/>
      <c r="H442" s="396" t="e">
        <f t="shared" si="6"/>
        <v>#DIV/0!</v>
      </c>
    </row>
    <row r="443" spans="1:8" ht="15" customHeight="1">
      <c r="A443" s="627"/>
      <c r="B443" s="627"/>
      <c r="C443" s="393">
        <v>411</v>
      </c>
      <c r="D443" s="393">
        <v>0</v>
      </c>
      <c r="E443" s="410" t="s">
        <v>333</v>
      </c>
      <c r="F443" s="395"/>
      <c r="G443" s="395"/>
      <c r="H443" s="396" t="e">
        <f t="shared" si="6"/>
        <v>#DIV/0!</v>
      </c>
    </row>
    <row r="444" spans="1:8" ht="15" customHeight="1">
      <c r="A444" s="627"/>
      <c r="B444" s="627"/>
      <c r="C444" s="393">
        <v>412</v>
      </c>
      <c r="D444" s="393">
        <v>0</v>
      </c>
      <c r="E444" s="410" t="s">
        <v>334</v>
      </c>
      <c r="F444" s="395"/>
      <c r="G444" s="395"/>
      <c r="H444" s="396" t="e">
        <f t="shared" si="6"/>
        <v>#DIV/0!</v>
      </c>
    </row>
    <row r="445" spans="1:8" ht="15" customHeight="1">
      <c r="A445" s="627"/>
      <c r="B445" s="627"/>
      <c r="C445" s="393">
        <v>417</v>
      </c>
      <c r="D445" s="393">
        <v>0</v>
      </c>
      <c r="E445" s="401" t="s">
        <v>335</v>
      </c>
      <c r="F445" s="395"/>
      <c r="G445" s="395"/>
      <c r="H445" s="396" t="e">
        <f t="shared" si="6"/>
        <v>#DIV/0!</v>
      </c>
    </row>
    <row r="446" spans="1:8" ht="15" customHeight="1">
      <c r="A446" s="627"/>
      <c r="B446" s="627"/>
      <c r="C446" s="393">
        <v>421</v>
      </c>
      <c r="D446" s="393">
        <v>0</v>
      </c>
      <c r="E446" s="410" t="s">
        <v>327</v>
      </c>
      <c r="F446" s="395"/>
      <c r="G446" s="395"/>
      <c r="H446" s="396" t="e">
        <f t="shared" si="6"/>
        <v>#DIV/0!</v>
      </c>
    </row>
    <row r="447" spans="1:8" ht="15" customHeight="1">
      <c r="A447" s="627"/>
      <c r="B447" s="627"/>
      <c r="C447" s="393">
        <v>426</v>
      </c>
      <c r="D447" s="393">
        <v>0</v>
      </c>
      <c r="E447" s="410" t="s">
        <v>336</v>
      </c>
      <c r="F447" s="395"/>
      <c r="G447" s="395"/>
      <c r="H447" s="396" t="e">
        <f t="shared" si="6"/>
        <v>#DIV/0!</v>
      </c>
    </row>
    <row r="448" spans="1:8" ht="15" customHeight="1">
      <c r="A448" s="627"/>
      <c r="B448" s="627"/>
      <c r="C448" s="393">
        <v>427</v>
      </c>
      <c r="D448" s="393">
        <v>0</v>
      </c>
      <c r="E448" s="410" t="s">
        <v>337</v>
      </c>
      <c r="F448" s="395"/>
      <c r="G448" s="395"/>
      <c r="H448" s="396" t="e">
        <f t="shared" si="6"/>
        <v>#DIV/0!</v>
      </c>
    </row>
    <row r="449" spans="1:8" ht="15" customHeight="1">
      <c r="A449" s="627"/>
      <c r="B449" s="627"/>
      <c r="C449" s="393">
        <v>428</v>
      </c>
      <c r="D449" s="393">
        <v>0</v>
      </c>
      <c r="E449" s="401" t="s">
        <v>338</v>
      </c>
      <c r="F449" s="395"/>
      <c r="G449" s="395"/>
      <c r="H449" s="396" t="e">
        <f t="shared" si="6"/>
        <v>#DIV/0!</v>
      </c>
    </row>
    <row r="450" spans="1:8" ht="15" customHeight="1">
      <c r="A450" s="627"/>
      <c r="B450" s="627"/>
      <c r="C450" s="393">
        <v>430</v>
      </c>
      <c r="D450" s="393">
        <v>0</v>
      </c>
      <c r="E450" s="410" t="s">
        <v>324</v>
      </c>
      <c r="F450" s="395"/>
      <c r="G450" s="395"/>
      <c r="H450" s="396" t="e">
        <f t="shared" si="6"/>
        <v>#DIV/0!</v>
      </c>
    </row>
    <row r="451" spans="1:8" ht="15" customHeight="1">
      <c r="A451" s="627"/>
      <c r="B451" s="627"/>
      <c r="C451" s="393">
        <v>435</v>
      </c>
      <c r="D451" s="393">
        <v>0</v>
      </c>
      <c r="E451" s="401" t="s">
        <v>339</v>
      </c>
      <c r="F451" s="395"/>
      <c r="G451" s="395"/>
      <c r="H451" s="396" t="e">
        <f t="shared" si="6"/>
        <v>#DIV/0!</v>
      </c>
    </row>
    <row r="452" spans="1:8" ht="15" customHeight="1">
      <c r="A452" s="627"/>
      <c r="B452" s="627"/>
      <c r="C452" s="393">
        <v>436</v>
      </c>
      <c r="D452" s="393">
        <v>0</v>
      </c>
      <c r="E452" s="402" t="s">
        <v>340</v>
      </c>
      <c r="F452" s="395"/>
      <c r="G452" s="395"/>
      <c r="H452" s="396" t="e">
        <f t="shared" si="6"/>
        <v>#DIV/0!</v>
      </c>
    </row>
    <row r="453" spans="1:8" ht="15" customHeight="1">
      <c r="A453" s="627"/>
      <c r="B453" s="627"/>
      <c r="C453" s="393">
        <v>437</v>
      </c>
      <c r="D453" s="393">
        <v>0</v>
      </c>
      <c r="E453" s="402" t="s">
        <v>341</v>
      </c>
      <c r="F453" s="395"/>
      <c r="G453" s="395"/>
      <c r="H453" s="396" t="e">
        <f t="shared" si="6"/>
        <v>#DIV/0!</v>
      </c>
    </row>
    <row r="454" spans="1:8" ht="15" customHeight="1">
      <c r="A454" s="627"/>
      <c r="B454" s="627"/>
      <c r="C454" s="393">
        <v>441</v>
      </c>
      <c r="D454" s="393">
        <v>0</v>
      </c>
      <c r="E454" s="410" t="s">
        <v>342</v>
      </c>
      <c r="F454" s="395"/>
      <c r="G454" s="395"/>
      <c r="H454" s="396" t="e">
        <f t="shared" si="6"/>
        <v>#DIV/0!</v>
      </c>
    </row>
    <row r="455" spans="1:8" ht="15" customHeight="1">
      <c r="A455" s="627"/>
      <c r="B455" s="627"/>
      <c r="C455" s="393">
        <v>444</v>
      </c>
      <c r="D455" s="393">
        <v>0</v>
      </c>
      <c r="E455" s="410" t="s">
        <v>343</v>
      </c>
      <c r="F455" s="395"/>
      <c r="G455" s="395"/>
      <c r="H455" s="396" t="e">
        <f t="shared" si="6"/>
        <v>#DIV/0!</v>
      </c>
    </row>
    <row r="456" spans="1:8" ht="15" customHeight="1">
      <c r="A456" s="627"/>
      <c r="B456" s="627"/>
      <c r="C456" s="393">
        <v>448</v>
      </c>
      <c r="D456" s="393">
        <v>0</v>
      </c>
      <c r="E456" s="410" t="s">
        <v>344</v>
      </c>
      <c r="F456" s="395"/>
      <c r="G456" s="395"/>
      <c r="H456" s="396" t="e">
        <f t="shared" si="6"/>
        <v>#DIV/0!</v>
      </c>
    </row>
    <row r="457" spans="1:8" ht="15" customHeight="1">
      <c r="A457" s="627"/>
      <c r="B457" s="627"/>
      <c r="C457" s="393">
        <v>452</v>
      </c>
      <c r="D457" s="393">
        <v>0</v>
      </c>
      <c r="E457" s="410" t="s">
        <v>346</v>
      </c>
      <c r="F457" s="395"/>
      <c r="G457" s="395"/>
      <c r="H457" s="396" t="e">
        <f t="shared" si="6"/>
        <v>#DIV/0!</v>
      </c>
    </row>
    <row r="458" spans="1:8" ht="15" customHeight="1">
      <c r="A458" s="627"/>
      <c r="B458" s="627"/>
      <c r="C458" s="393">
        <v>453</v>
      </c>
      <c r="D458" s="393">
        <v>0</v>
      </c>
      <c r="E458" s="401" t="s">
        <v>328</v>
      </c>
      <c r="F458" s="395"/>
      <c r="G458" s="395"/>
      <c r="H458" s="396" t="e">
        <f t="shared" si="6"/>
        <v>#DIV/0!</v>
      </c>
    </row>
    <row r="459" spans="1:8" ht="15" customHeight="1">
      <c r="A459" s="627"/>
      <c r="B459" s="627"/>
      <c r="C459" s="393">
        <v>470</v>
      </c>
      <c r="D459" s="393">
        <v>0</v>
      </c>
      <c r="E459" s="402" t="s">
        <v>348</v>
      </c>
      <c r="F459" s="395"/>
      <c r="G459" s="395"/>
      <c r="H459" s="396" t="e">
        <f t="shared" si="6"/>
        <v>#DIV/0!</v>
      </c>
    </row>
    <row r="460" spans="1:8" ht="15" customHeight="1">
      <c r="A460" s="627"/>
      <c r="B460" s="380">
        <v>85226</v>
      </c>
      <c r="C460" s="393"/>
      <c r="D460" s="393"/>
      <c r="E460" s="183" t="s">
        <v>193</v>
      </c>
      <c r="F460" s="395">
        <f>SUM(F461:F476)</f>
        <v>0</v>
      </c>
      <c r="G460" s="395">
        <f>SUM(G461:G476)</f>
        <v>0</v>
      </c>
      <c r="H460" s="396" t="e">
        <f t="shared" si="6"/>
        <v>#DIV/0!</v>
      </c>
    </row>
    <row r="461" spans="1:8" ht="15" customHeight="1">
      <c r="A461" s="627"/>
      <c r="B461" s="627"/>
      <c r="C461" s="393">
        <v>401</v>
      </c>
      <c r="D461" s="393">
        <v>0</v>
      </c>
      <c r="E461" s="410" t="s">
        <v>331</v>
      </c>
      <c r="F461" s="395"/>
      <c r="G461" s="395"/>
      <c r="H461" s="396" t="e">
        <f t="shared" si="6"/>
        <v>#DIV/0!</v>
      </c>
    </row>
    <row r="462" spans="1:8" ht="15" customHeight="1">
      <c r="A462" s="627"/>
      <c r="B462" s="627"/>
      <c r="C462" s="393">
        <v>404</v>
      </c>
      <c r="D462" s="393">
        <v>0</v>
      </c>
      <c r="E462" s="410" t="s">
        <v>332</v>
      </c>
      <c r="F462" s="395"/>
      <c r="G462" s="395"/>
      <c r="H462" s="396" t="e">
        <f t="shared" si="6"/>
        <v>#DIV/0!</v>
      </c>
    </row>
    <row r="463" spans="1:8" ht="15" customHeight="1">
      <c r="A463" s="627"/>
      <c r="B463" s="627"/>
      <c r="C463" s="393">
        <v>411</v>
      </c>
      <c r="D463" s="393">
        <v>0</v>
      </c>
      <c r="E463" s="410" t="s">
        <v>333</v>
      </c>
      <c r="F463" s="395"/>
      <c r="G463" s="395"/>
      <c r="H463" s="396" t="e">
        <f t="shared" si="6"/>
        <v>#DIV/0!</v>
      </c>
    </row>
    <row r="464" spans="1:8" ht="15" customHeight="1">
      <c r="A464" s="627"/>
      <c r="B464" s="627"/>
      <c r="C464" s="393">
        <v>412</v>
      </c>
      <c r="D464" s="393">
        <v>0</v>
      </c>
      <c r="E464" s="410" t="s">
        <v>334</v>
      </c>
      <c r="F464" s="395"/>
      <c r="G464" s="395"/>
      <c r="H464" s="396" t="e">
        <f t="shared" si="6"/>
        <v>#DIV/0!</v>
      </c>
    </row>
    <row r="465" spans="1:8" ht="15" customHeight="1">
      <c r="A465" s="627"/>
      <c r="B465" s="627"/>
      <c r="C465" s="393">
        <v>417</v>
      </c>
      <c r="D465" s="393">
        <v>0</v>
      </c>
      <c r="E465" s="401" t="s">
        <v>335</v>
      </c>
      <c r="F465" s="395"/>
      <c r="G465" s="395"/>
      <c r="H465" s="396" t="e">
        <f t="shared" si="6"/>
        <v>#DIV/0!</v>
      </c>
    </row>
    <row r="466" spans="1:8" ht="15" customHeight="1">
      <c r="A466" s="627"/>
      <c r="B466" s="627"/>
      <c r="C466" s="393">
        <v>421</v>
      </c>
      <c r="D466" s="393">
        <v>0</v>
      </c>
      <c r="E466" s="410" t="s">
        <v>327</v>
      </c>
      <c r="F466" s="395"/>
      <c r="G466" s="395"/>
      <c r="H466" s="396" t="e">
        <f t="shared" si="6"/>
        <v>#DIV/0!</v>
      </c>
    </row>
    <row r="467" spans="1:8" ht="15" customHeight="1">
      <c r="A467" s="627"/>
      <c r="B467" s="627"/>
      <c r="C467" s="393">
        <v>426</v>
      </c>
      <c r="D467" s="393">
        <v>0</v>
      </c>
      <c r="E467" s="410" t="s">
        <v>336</v>
      </c>
      <c r="F467" s="395"/>
      <c r="G467" s="395"/>
      <c r="H467" s="396" t="e">
        <f t="shared" si="6"/>
        <v>#DIV/0!</v>
      </c>
    </row>
    <row r="468" spans="1:8" ht="15" customHeight="1">
      <c r="A468" s="627"/>
      <c r="B468" s="627"/>
      <c r="C468" s="393">
        <v>428</v>
      </c>
      <c r="D468" s="393">
        <v>0</v>
      </c>
      <c r="E468" s="401" t="s">
        <v>338</v>
      </c>
      <c r="F468" s="395"/>
      <c r="G468" s="395"/>
      <c r="H468" s="396" t="e">
        <f t="shared" si="6"/>
        <v>#DIV/0!</v>
      </c>
    </row>
    <row r="469" spans="1:8" ht="15" customHeight="1">
      <c r="A469" s="627"/>
      <c r="B469" s="627"/>
      <c r="C469" s="393">
        <v>430</v>
      </c>
      <c r="D469" s="393">
        <v>0</v>
      </c>
      <c r="E469" s="410" t="s">
        <v>324</v>
      </c>
      <c r="F469" s="395"/>
      <c r="G469" s="395"/>
      <c r="H469" s="396" t="e">
        <f t="shared" si="6"/>
        <v>#DIV/0!</v>
      </c>
    </row>
    <row r="470" spans="1:8" ht="15" customHeight="1">
      <c r="A470" s="627"/>
      <c r="B470" s="627"/>
      <c r="C470" s="393">
        <v>435</v>
      </c>
      <c r="D470" s="393">
        <v>0</v>
      </c>
      <c r="E470" s="401" t="s">
        <v>339</v>
      </c>
      <c r="F470" s="395"/>
      <c r="G470" s="395"/>
      <c r="H470" s="396" t="e">
        <f t="shared" si="6"/>
        <v>#DIV/0!</v>
      </c>
    </row>
    <row r="471" spans="1:8" ht="15" customHeight="1">
      <c r="A471" s="627"/>
      <c r="B471" s="627"/>
      <c r="C471" s="393">
        <v>436</v>
      </c>
      <c r="D471" s="393">
        <v>0</v>
      </c>
      <c r="E471" s="402" t="s">
        <v>340</v>
      </c>
      <c r="F471" s="395"/>
      <c r="G471" s="395"/>
      <c r="H471" s="396" t="e">
        <f t="shared" si="6"/>
        <v>#DIV/0!</v>
      </c>
    </row>
    <row r="472" spans="1:8" ht="15" customHeight="1">
      <c r="A472" s="627"/>
      <c r="B472" s="627"/>
      <c r="C472" s="393">
        <v>437</v>
      </c>
      <c r="D472" s="393">
        <v>0</v>
      </c>
      <c r="E472" s="402" t="s">
        <v>341</v>
      </c>
      <c r="F472" s="395"/>
      <c r="G472" s="395"/>
      <c r="H472" s="396" t="e">
        <f t="shared" si="6"/>
        <v>#DIV/0!</v>
      </c>
    </row>
    <row r="473" spans="1:8" ht="15" customHeight="1">
      <c r="A473" s="627"/>
      <c r="B473" s="627"/>
      <c r="C473" s="393">
        <v>441</v>
      </c>
      <c r="D473" s="393">
        <v>0</v>
      </c>
      <c r="E473" s="410" t="s">
        <v>342</v>
      </c>
      <c r="F473" s="395"/>
      <c r="G473" s="395"/>
      <c r="H473" s="396" t="e">
        <f t="shared" ref="H473:H536" si="7">G473/F473*100</f>
        <v>#DIV/0!</v>
      </c>
    </row>
    <row r="474" spans="1:8" ht="15" customHeight="1">
      <c r="A474" s="627"/>
      <c r="B474" s="627"/>
      <c r="C474" s="393">
        <v>444</v>
      </c>
      <c r="D474" s="393">
        <v>0</v>
      </c>
      <c r="E474" s="410" t="s">
        <v>343</v>
      </c>
      <c r="F474" s="395"/>
      <c r="G474" s="395"/>
      <c r="H474" s="396" t="e">
        <f t="shared" si="7"/>
        <v>#DIV/0!</v>
      </c>
    </row>
    <row r="475" spans="1:8" ht="15" customHeight="1">
      <c r="A475" s="627"/>
      <c r="B475" s="627"/>
      <c r="C475" s="393">
        <v>448</v>
      </c>
      <c r="D475" s="393">
        <v>0</v>
      </c>
      <c r="E475" s="410" t="s">
        <v>344</v>
      </c>
      <c r="F475" s="395"/>
      <c r="G475" s="395"/>
      <c r="H475" s="396" t="e">
        <f t="shared" si="7"/>
        <v>#DIV/0!</v>
      </c>
    </row>
    <row r="476" spans="1:8" ht="15" customHeight="1">
      <c r="A476" s="627"/>
      <c r="B476" s="627"/>
      <c r="C476" s="393">
        <v>470</v>
      </c>
      <c r="D476" s="393">
        <v>0</v>
      </c>
      <c r="E476" s="402" t="s">
        <v>348</v>
      </c>
      <c r="F476" s="395"/>
      <c r="G476" s="395"/>
      <c r="H476" s="396" t="e">
        <f t="shared" si="7"/>
        <v>#DIV/0!</v>
      </c>
    </row>
    <row r="477" spans="1:8" ht="15" customHeight="1">
      <c r="A477" s="627"/>
      <c r="B477" s="380">
        <v>85233</v>
      </c>
      <c r="C477" s="393"/>
      <c r="D477" s="393"/>
      <c r="E477" s="183" t="s">
        <v>84</v>
      </c>
      <c r="F477" s="395">
        <f>F478+F479+F480</f>
        <v>0</v>
      </c>
      <c r="G477" s="395">
        <f>G478+G479+G480</f>
        <v>0</v>
      </c>
      <c r="H477" s="396" t="e">
        <f t="shared" si="7"/>
        <v>#DIV/0!</v>
      </c>
    </row>
    <row r="478" spans="1:8" ht="15" customHeight="1">
      <c r="A478" s="627"/>
      <c r="B478" s="629"/>
      <c r="C478" s="393">
        <v>421</v>
      </c>
      <c r="D478" s="393">
        <v>0</v>
      </c>
      <c r="E478" s="410" t="s">
        <v>327</v>
      </c>
      <c r="F478" s="395"/>
      <c r="G478" s="395"/>
      <c r="H478" s="396" t="e">
        <f t="shared" si="7"/>
        <v>#DIV/0!</v>
      </c>
    </row>
    <row r="479" spans="1:8" ht="15" customHeight="1">
      <c r="A479" s="627"/>
      <c r="B479" s="630"/>
      <c r="C479" s="393">
        <v>430</v>
      </c>
      <c r="D479" s="393">
        <v>0</v>
      </c>
      <c r="E479" s="410" t="s">
        <v>324</v>
      </c>
      <c r="F479" s="395"/>
      <c r="G479" s="395"/>
      <c r="H479" s="396" t="e">
        <f t="shared" si="7"/>
        <v>#DIV/0!</v>
      </c>
    </row>
    <row r="480" spans="1:8" ht="15" customHeight="1">
      <c r="A480" s="627"/>
      <c r="B480" s="631"/>
      <c r="C480" s="393">
        <v>441</v>
      </c>
      <c r="D480" s="393">
        <v>0</v>
      </c>
      <c r="E480" s="410" t="s">
        <v>342</v>
      </c>
      <c r="F480" s="395"/>
      <c r="G480" s="395"/>
      <c r="H480" s="396" t="e">
        <f t="shared" si="7"/>
        <v>#DIV/0!</v>
      </c>
    </row>
    <row r="481" spans="1:8" ht="15" customHeight="1">
      <c r="A481" s="627"/>
      <c r="B481" s="380">
        <v>85295</v>
      </c>
      <c r="C481" s="393"/>
      <c r="D481" s="393"/>
      <c r="E481" s="413" t="s">
        <v>74</v>
      </c>
      <c r="F481" s="395">
        <f>F484+F482+F483</f>
        <v>0</v>
      </c>
      <c r="G481" s="395">
        <f>G484+G482+G483</f>
        <v>0</v>
      </c>
      <c r="H481" s="396" t="e">
        <f t="shared" si="7"/>
        <v>#DIV/0!</v>
      </c>
    </row>
    <row r="482" spans="1:8" ht="15" customHeight="1">
      <c r="A482" s="627"/>
      <c r="B482" s="629"/>
      <c r="C482" s="393">
        <v>417</v>
      </c>
      <c r="D482" s="393">
        <v>0</v>
      </c>
      <c r="E482" s="401" t="s">
        <v>335</v>
      </c>
      <c r="F482" s="395"/>
      <c r="G482" s="395"/>
      <c r="H482" s="396" t="e">
        <f t="shared" si="7"/>
        <v>#DIV/0!</v>
      </c>
    </row>
    <row r="483" spans="1:8" ht="15" customHeight="1">
      <c r="A483" s="627"/>
      <c r="B483" s="630"/>
      <c r="C483" s="393">
        <v>421</v>
      </c>
      <c r="D483" s="393">
        <v>0</v>
      </c>
      <c r="E483" s="410" t="s">
        <v>327</v>
      </c>
      <c r="F483" s="395"/>
      <c r="G483" s="395"/>
      <c r="H483" s="396" t="e">
        <f t="shared" si="7"/>
        <v>#DIV/0!</v>
      </c>
    </row>
    <row r="484" spans="1:8" ht="15" customHeight="1">
      <c r="A484" s="627"/>
      <c r="B484" s="631"/>
      <c r="C484" s="393">
        <v>430</v>
      </c>
      <c r="D484" s="393">
        <v>0</v>
      </c>
      <c r="E484" s="410" t="s">
        <v>324</v>
      </c>
      <c r="F484" s="395"/>
      <c r="G484" s="395"/>
      <c r="H484" s="396" t="e">
        <f t="shared" si="7"/>
        <v>#DIV/0!</v>
      </c>
    </row>
    <row r="485" spans="1:8" ht="15" customHeight="1">
      <c r="A485" s="387">
        <v>853</v>
      </c>
      <c r="B485" s="387"/>
      <c r="C485" s="388"/>
      <c r="D485" s="388"/>
      <c r="E485" s="407" t="s">
        <v>36</v>
      </c>
      <c r="F485" s="390">
        <f>F486+F488+F497+F514</f>
        <v>0</v>
      </c>
      <c r="G485" s="390">
        <f>G486+G488+G497+G514</f>
        <v>0</v>
      </c>
      <c r="H485" s="391" t="e">
        <f t="shared" si="7"/>
        <v>#DIV/0!</v>
      </c>
    </row>
    <row r="486" spans="1:8" ht="15" customHeight="1">
      <c r="A486" s="627"/>
      <c r="B486" s="380">
        <v>85311</v>
      </c>
      <c r="C486" s="393"/>
      <c r="D486" s="393"/>
      <c r="E486" s="183" t="s">
        <v>152</v>
      </c>
      <c r="F486" s="395">
        <f>F487</f>
        <v>0</v>
      </c>
      <c r="G486" s="395">
        <f>G487</f>
        <v>0</v>
      </c>
      <c r="H486" s="396" t="e">
        <f t="shared" si="7"/>
        <v>#DIV/0!</v>
      </c>
    </row>
    <row r="487" spans="1:8" ht="15" customHeight="1">
      <c r="A487" s="627"/>
      <c r="B487" s="380"/>
      <c r="C487" s="393">
        <v>231</v>
      </c>
      <c r="D487" s="393">
        <v>0</v>
      </c>
      <c r="E487" s="416" t="s">
        <v>392</v>
      </c>
      <c r="F487" s="395"/>
      <c r="G487" s="395"/>
      <c r="H487" s="396" t="e">
        <f t="shared" si="7"/>
        <v>#DIV/0!</v>
      </c>
    </row>
    <row r="488" spans="1:8" ht="15" customHeight="1">
      <c r="A488" s="627"/>
      <c r="B488" s="380">
        <v>85321</v>
      </c>
      <c r="C488" s="393"/>
      <c r="D488" s="393"/>
      <c r="E488" s="183" t="s">
        <v>116</v>
      </c>
      <c r="F488" s="395">
        <f>SUM(F489:F496)</f>
        <v>0</v>
      </c>
      <c r="G488" s="395">
        <f>SUM(G489:G496)</f>
        <v>0</v>
      </c>
      <c r="H488" s="396" t="e">
        <f t="shared" si="7"/>
        <v>#DIV/0!</v>
      </c>
    </row>
    <row r="489" spans="1:8" ht="15" customHeight="1">
      <c r="A489" s="627"/>
      <c r="B489" s="627"/>
      <c r="C489" s="393">
        <v>401</v>
      </c>
      <c r="D489" s="393">
        <v>0</v>
      </c>
      <c r="E489" s="410" t="s">
        <v>331</v>
      </c>
      <c r="F489" s="395"/>
      <c r="G489" s="395"/>
      <c r="H489" s="396" t="e">
        <f t="shared" si="7"/>
        <v>#DIV/0!</v>
      </c>
    </row>
    <row r="490" spans="1:8" ht="15" customHeight="1">
      <c r="A490" s="627"/>
      <c r="B490" s="627"/>
      <c r="C490" s="393">
        <v>404</v>
      </c>
      <c r="D490" s="393">
        <v>0</v>
      </c>
      <c r="E490" s="410" t="s">
        <v>332</v>
      </c>
      <c r="F490" s="395"/>
      <c r="G490" s="395"/>
      <c r="H490" s="396" t="e">
        <f t="shared" si="7"/>
        <v>#DIV/0!</v>
      </c>
    </row>
    <row r="491" spans="1:8" ht="15" customHeight="1">
      <c r="A491" s="627"/>
      <c r="B491" s="627"/>
      <c r="C491" s="393">
        <v>411</v>
      </c>
      <c r="D491" s="393">
        <v>0</v>
      </c>
      <c r="E491" s="410" t="s">
        <v>333</v>
      </c>
      <c r="F491" s="395"/>
      <c r="G491" s="395"/>
      <c r="H491" s="396" t="e">
        <f t="shared" si="7"/>
        <v>#DIV/0!</v>
      </c>
    </row>
    <row r="492" spans="1:8" ht="15" customHeight="1">
      <c r="A492" s="627"/>
      <c r="B492" s="627"/>
      <c r="C492" s="393">
        <v>412</v>
      </c>
      <c r="D492" s="393">
        <v>0</v>
      </c>
      <c r="E492" s="410" t="s">
        <v>334</v>
      </c>
      <c r="F492" s="395"/>
      <c r="G492" s="395"/>
      <c r="H492" s="396" t="e">
        <f t="shared" si="7"/>
        <v>#DIV/0!</v>
      </c>
    </row>
    <row r="493" spans="1:8" ht="15" customHeight="1">
      <c r="A493" s="627"/>
      <c r="B493" s="627"/>
      <c r="C493" s="393">
        <v>417</v>
      </c>
      <c r="D493" s="393">
        <v>0</v>
      </c>
      <c r="E493" s="401" t="s">
        <v>335</v>
      </c>
      <c r="F493" s="395"/>
      <c r="G493" s="395"/>
      <c r="H493" s="396" t="e">
        <f t="shared" si="7"/>
        <v>#DIV/0!</v>
      </c>
    </row>
    <row r="494" spans="1:8" ht="15" customHeight="1">
      <c r="A494" s="627"/>
      <c r="B494" s="627"/>
      <c r="C494" s="393">
        <v>421</v>
      </c>
      <c r="D494" s="393">
        <v>0</v>
      </c>
      <c r="E494" s="410" t="s">
        <v>327</v>
      </c>
      <c r="F494" s="395"/>
      <c r="G494" s="395"/>
      <c r="H494" s="396" t="e">
        <f t="shared" si="7"/>
        <v>#DIV/0!</v>
      </c>
    </row>
    <row r="495" spans="1:8" ht="15" customHeight="1">
      <c r="A495" s="627"/>
      <c r="B495" s="627"/>
      <c r="C495" s="393">
        <v>430</v>
      </c>
      <c r="D495" s="393">
        <v>0</v>
      </c>
      <c r="E495" s="410" t="s">
        <v>324</v>
      </c>
      <c r="F495" s="395"/>
      <c r="G495" s="395"/>
      <c r="H495" s="396" t="e">
        <f t="shared" si="7"/>
        <v>#DIV/0!</v>
      </c>
    </row>
    <row r="496" spans="1:8" ht="15" customHeight="1">
      <c r="A496" s="627"/>
      <c r="B496" s="627"/>
      <c r="C496" s="393">
        <v>444</v>
      </c>
      <c r="D496" s="393">
        <v>0</v>
      </c>
      <c r="E496" s="410" t="s">
        <v>343</v>
      </c>
      <c r="F496" s="395"/>
      <c r="G496" s="395"/>
      <c r="H496" s="396" t="e">
        <f t="shared" si="7"/>
        <v>#DIV/0!</v>
      </c>
    </row>
    <row r="497" spans="1:8" ht="15" customHeight="1">
      <c r="A497" s="627"/>
      <c r="B497" s="380">
        <v>85333</v>
      </c>
      <c r="C497" s="393"/>
      <c r="D497" s="393"/>
      <c r="E497" s="183" t="s">
        <v>94</v>
      </c>
      <c r="F497" s="395">
        <f>SUM(F498:F513)</f>
        <v>0</v>
      </c>
      <c r="G497" s="395">
        <f>SUM(G498:G513)</f>
        <v>0</v>
      </c>
      <c r="H497" s="396" t="e">
        <f t="shared" si="7"/>
        <v>#DIV/0!</v>
      </c>
    </row>
    <row r="498" spans="1:8" ht="15" customHeight="1">
      <c r="A498" s="627"/>
      <c r="B498" s="627"/>
      <c r="C498" s="393">
        <v>401</v>
      </c>
      <c r="D498" s="393">
        <v>0</v>
      </c>
      <c r="E498" s="410" t="s">
        <v>331</v>
      </c>
      <c r="F498" s="395"/>
      <c r="G498" s="395"/>
      <c r="H498" s="396" t="e">
        <f t="shared" si="7"/>
        <v>#DIV/0!</v>
      </c>
    </row>
    <row r="499" spans="1:8" ht="15" customHeight="1">
      <c r="A499" s="627"/>
      <c r="B499" s="627"/>
      <c r="C499" s="393">
        <v>404</v>
      </c>
      <c r="D499" s="393">
        <v>0</v>
      </c>
      <c r="E499" s="410" t="s">
        <v>332</v>
      </c>
      <c r="F499" s="395"/>
      <c r="G499" s="395"/>
      <c r="H499" s="396" t="e">
        <f t="shared" si="7"/>
        <v>#DIV/0!</v>
      </c>
    </row>
    <row r="500" spans="1:8" ht="15" customHeight="1">
      <c r="A500" s="627"/>
      <c r="B500" s="627"/>
      <c r="C500" s="393">
        <v>411</v>
      </c>
      <c r="D500" s="393">
        <v>0</v>
      </c>
      <c r="E500" s="410" t="s">
        <v>333</v>
      </c>
      <c r="F500" s="395"/>
      <c r="G500" s="395"/>
      <c r="H500" s="396" t="e">
        <f t="shared" si="7"/>
        <v>#DIV/0!</v>
      </c>
    </row>
    <row r="501" spans="1:8" ht="15" customHeight="1">
      <c r="A501" s="627"/>
      <c r="B501" s="627"/>
      <c r="C501" s="393">
        <v>412</v>
      </c>
      <c r="D501" s="393">
        <v>0</v>
      </c>
      <c r="E501" s="410" t="s">
        <v>334</v>
      </c>
      <c r="F501" s="395"/>
      <c r="G501" s="395"/>
      <c r="H501" s="396" t="e">
        <f t="shared" si="7"/>
        <v>#DIV/0!</v>
      </c>
    </row>
    <row r="502" spans="1:8" ht="15" customHeight="1">
      <c r="A502" s="627"/>
      <c r="B502" s="627"/>
      <c r="C502" s="393">
        <v>417</v>
      </c>
      <c r="D502" s="393">
        <v>0</v>
      </c>
      <c r="E502" s="401" t="s">
        <v>335</v>
      </c>
      <c r="F502" s="395"/>
      <c r="G502" s="395"/>
      <c r="H502" s="396" t="e">
        <f t="shared" si="7"/>
        <v>#DIV/0!</v>
      </c>
    </row>
    <row r="503" spans="1:8" ht="15" customHeight="1">
      <c r="A503" s="627"/>
      <c r="B503" s="627"/>
      <c r="C503" s="393">
        <v>421</v>
      </c>
      <c r="D503" s="393">
        <v>0</v>
      </c>
      <c r="E503" s="410" t="s">
        <v>327</v>
      </c>
      <c r="F503" s="395"/>
      <c r="G503" s="395"/>
      <c r="H503" s="396" t="e">
        <f t="shared" si="7"/>
        <v>#DIV/0!</v>
      </c>
    </row>
    <row r="504" spans="1:8" ht="15" customHeight="1">
      <c r="A504" s="627"/>
      <c r="B504" s="627"/>
      <c r="C504" s="393">
        <v>426</v>
      </c>
      <c r="D504" s="393">
        <v>0</v>
      </c>
      <c r="E504" s="410" t="s">
        <v>336</v>
      </c>
      <c r="F504" s="395"/>
      <c r="G504" s="395"/>
      <c r="H504" s="396" t="e">
        <f t="shared" si="7"/>
        <v>#DIV/0!</v>
      </c>
    </row>
    <row r="505" spans="1:8" ht="15" customHeight="1">
      <c r="A505" s="627"/>
      <c r="B505" s="627"/>
      <c r="C505" s="393">
        <v>427</v>
      </c>
      <c r="D505" s="393">
        <v>0</v>
      </c>
      <c r="E505" s="410" t="s">
        <v>337</v>
      </c>
      <c r="F505" s="395"/>
      <c r="G505" s="395"/>
      <c r="H505" s="396" t="e">
        <f t="shared" si="7"/>
        <v>#DIV/0!</v>
      </c>
    </row>
    <row r="506" spans="1:8" ht="15" customHeight="1">
      <c r="A506" s="627"/>
      <c r="B506" s="627"/>
      <c r="C506" s="393">
        <v>428</v>
      </c>
      <c r="D506" s="393">
        <v>0</v>
      </c>
      <c r="E506" s="410" t="s">
        <v>338</v>
      </c>
      <c r="F506" s="395"/>
      <c r="G506" s="395"/>
      <c r="H506" s="396" t="e">
        <f t="shared" si="7"/>
        <v>#DIV/0!</v>
      </c>
    </row>
    <row r="507" spans="1:8" ht="15" customHeight="1">
      <c r="A507" s="627"/>
      <c r="B507" s="627"/>
      <c r="C507" s="393">
        <v>430</v>
      </c>
      <c r="D507" s="393">
        <v>0</v>
      </c>
      <c r="E507" s="410" t="s">
        <v>324</v>
      </c>
      <c r="F507" s="395"/>
      <c r="G507" s="395"/>
      <c r="H507" s="396" t="e">
        <f t="shared" si="7"/>
        <v>#DIV/0!</v>
      </c>
    </row>
    <row r="508" spans="1:8" ht="15" customHeight="1">
      <c r="A508" s="627"/>
      <c r="B508" s="627"/>
      <c r="C508" s="393">
        <v>437</v>
      </c>
      <c r="D508" s="393">
        <v>0</v>
      </c>
      <c r="E508" s="402" t="s">
        <v>341</v>
      </c>
      <c r="F508" s="395"/>
      <c r="G508" s="395"/>
      <c r="H508" s="396" t="e">
        <f t="shared" si="7"/>
        <v>#DIV/0!</v>
      </c>
    </row>
    <row r="509" spans="1:8" ht="15" customHeight="1">
      <c r="A509" s="627"/>
      <c r="B509" s="627"/>
      <c r="C509" s="393">
        <v>441</v>
      </c>
      <c r="D509" s="393">
        <v>0</v>
      </c>
      <c r="E509" s="410" t="s">
        <v>342</v>
      </c>
      <c r="F509" s="395"/>
      <c r="G509" s="395"/>
      <c r="H509" s="396" t="e">
        <f t="shared" si="7"/>
        <v>#DIV/0!</v>
      </c>
    </row>
    <row r="510" spans="1:8" ht="15" customHeight="1">
      <c r="A510" s="627"/>
      <c r="B510" s="627"/>
      <c r="C510" s="393">
        <v>444</v>
      </c>
      <c r="D510" s="393">
        <v>0</v>
      </c>
      <c r="E510" s="410" t="s">
        <v>343</v>
      </c>
      <c r="F510" s="395"/>
      <c r="G510" s="395"/>
      <c r="H510" s="396" t="e">
        <f t="shared" si="7"/>
        <v>#DIV/0!</v>
      </c>
    </row>
    <row r="511" spans="1:8" ht="15" customHeight="1">
      <c r="A511" s="627"/>
      <c r="B511" s="627"/>
      <c r="C511" s="393">
        <v>448</v>
      </c>
      <c r="D511" s="393">
        <v>0</v>
      </c>
      <c r="E511" s="410" t="s">
        <v>344</v>
      </c>
      <c r="F511" s="395"/>
      <c r="G511" s="395"/>
      <c r="H511" s="396" t="e">
        <f t="shared" si="7"/>
        <v>#DIV/0!</v>
      </c>
    </row>
    <row r="512" spans="1:8" ht="15" customHeight="1">
      <c r="A512" s="627"/>
      <c r="B512" s="627"/>
      <c r="C512" s="393">
        <v>470</v>
      </c>
      <c r="D512" s="393">
        <v>0</v>
      </c>
      <c r="E512" s="402" t="s">
        <v>348</v>
      </c>
      <c r="F512" s="395"/>
      <c r="G512" s="395"/>
      <c r="H512" s="396" t="e">
        <f t="shared" si="7"/>
        <v>#DIV/0!</v>
      </c>
    </row>
    <row r="513" spans="1:8" ht="15" customHeight="1">
      <c r="A513" s="627"/>
      <c r="B513" s="627"/>
      <c r="C513" s="393">
        <v>605</v>
      </c>
      <c r="D513" s="393">
        <v>0</v>
      </c>
      <c r="E513" s="402" t="s">
        <v>349</v>
      </c>
      <c r="F513" s="395"/>
      <c r="G513" s="395"/>
      <c r="H513" s="396" t="e">
        <f t="shared" si="7"/>
        <v>#DIV/0!</v>
      </c>
    </row>
    <row r="514" spans="1:8" ht="15" customHeight="1">
      <c r="A514" s="627"/>
      <c r="B514" s="380">
        <v>85395</v>
      </c>
      <c r="C514" s="393"/>
      <c r="D514" s="393"/>
      <c r="E514" s="413" t="s">
        <v>74</v>
      </c>
      <c r="F514" s="395">
        <f>SUM(F515:F543)</f>
        <v>0</v>
      </c>
      <c r="G514" s="395">
        <f>SUM(G515:G543)</f>
        <v>0</v>
      </c>
      <c r="H514" s="396" t="e">
        <f t="shared" si="7"/>
        <v>#DIV/0!</v>
      </c>
    </row>
    <row r="515" spans="1:8" ht="15" customHeight="1">
      <c r="A515" s="627"/>
      <c r="B515" s="627"/>
      <c r="C515" s="393">
        <v>231</v>
      </c>
      <c r="D515" s="393">
        <v>7</v>
      </c>
      <c r="E515" s="416" t="s">
        <v>392</v>
      </c>
      <c r="F515" s="395"/>
      <c r="G515" s="395"/>
      <c r="H515" s="396" t="e">
        <f t="shared" si="7"/>
        <v>#DIV/0!</v>
      </c>
    </row>
    <row r="516" spans="1:8" ht="15" customHeight="1">
      <c r="A516" s="627"/>
      <c r="B516" s="627"/>
      <c r="C516" s="393">
        <v>231</v>
      </c>
      <c r="D516" s="393">
        <v>9</v>
      </c>
      <c r="E516" s="416" t="s">
        <v>392</v>
      </c>
      <c r="F516" s="395"/>
      <c r="G516" s="395"/>
      <c r="H516" s="396" t="e">
        <f t="shared" si="7"/>
        <v>#DIV/0!</v>
      </c>
    </row>
    <row r="517" spans="1:8" ht="15" customHeight="1">
      <c r="A517" s="627"/>
      <c r="B517" s="627"/>
      <c r="C517" s="393">
        <v>311</v>
      </c>
      <c r="D517" s="393">
        <v>7</v>
      </c>
      <c r="E517" s="411" t="s">
        <v>393</v>
      </c>
      <c r="F517" s="395"/>
      <c r="G517" s="395"/>
      <c r="H517" s="396" t="e">
        <f t="shared" si="7"/>
        <v>#DIV/0!</v>
      </c>
    </row>
    <row r="518" spans="1:8" ht="15" customHeight="1">
      <c r="A518" s="627"/>
      <c r="B518" s="627"/>
      <c r="C518" s="393">
        <v>311</v>
      </c>
      <c r="D518" s="393">
        <v>9</v>
      </c>
      <c r="E518" s="411" t="s">
        <v>393</v>
      </c>
      <c r="F518" s="395"/>
      <c r="G518" s="395"/>
      <c r="H518" s="396" t="e">
        <f t="shared" si="7"/>
        <v>#DIV/0!</v>
      </c>
    </row>
    <row r="519" spans="1:8" ht="15" customHeight="1">
      <c r="A519" s="627"/>
      <c r="B519" s="627"/>
      <c r="C519" s="393">
        <v>401</v>
      </c>
      <c r="D519" s="393">
        <v>0</v>
      </c>
      <c r="E519" s="410" t="s">
        <v>331</v>
      </c>
      <c r="F519" s="395"/>
      <c r="G519" s="395"/>
      <c r="H519" s="396" t="e">
        <f t="shared" si="7"/>
        <v>#DIV/0!</v>
      </c>
    </row>
    <row r="520" spans="1:8" ht="15" customHeight="1">
      <c r="A520" s="627"/>
      <c r="B520" s="627"/>
      <c r="C520" s="393">
        <v>401</v>
      </c>
      <c r="D520" s="393">
        <v>7</v>
      </c>
      <c r="E520" s="410" t="s">
        <v>331</v>
      </c>
      <c r="F520" s="395"/>
      <c r="G520" s="395"/>
      <c r="H520" s="396" t="e">
        <f t="shared" si="7"/>
        <v>#DIV/0!</v>
      </c>
    </row>
    <row r="521" spans="1:8" ht="15" customHeight="1">
      <c r="A521" s="627"/>
      <c r="B521" s="627"/>
      <c r="C521" s="393">
        <v>401</v>
      </c>
      <c r="D521" s="393">
        <v>9</v>
      </c>
      <c r="E521" s="410" t="s">
        <v>331</v>
      </c>
      <c r="F521" s="395"/>
      <c r="G521" s="395"/>
      <c r="H521" s="396" t="e">
        <f t="shared" si="7"/>
        <v>#DIV/0!</v>
      </c>
    </row>
    <row r="522" spans="1:8" ht="15" customHeight="1">
      <c r="A522" s="627"/>
      <c r="B522" s="627"/>
      <c r="C522" s="393">
        <v>404</v>
      </c>
      <c r="D522" s="393">
        <v>0</v>
      </c>
      <c r="E522" s="410" t="s">
        <v>332</v>
      </c>
      <c r="F522" s="395"/>
      <c r="G522" s="395"/>
      <c r="H522" s="396" t="e">
        <f t="shared" si="7"/>
        <v>#DIV/0!</v>
      </c>
    </row>
    <row r="523" spans="1:8" ht="15" customHeight="1">
      <c r="A523" s="627"/>
      <c r="B523" s="627"/>
      <c r="C523" s="393">
        <v>411</v>
      </c>
      <c r="D523" s="393">
        <v>0</v>
      </c>
      <c r="E523" s="410" t="s">
        <v>333</v>
      </c>
      <c r="F523" s="395"/>
      <c r="G523" s="395"/>
      <c r="H523" s="396" t="e">
        <f t="shared" si="7"/>
        <v>#DIV/0!</v>
      </c>
    </row>
    <row r="524" spans="1:8" ht="15" customHeight="1">
      <c r="A524" s="627"/>
      <c r="B524" s="627"/>
      <c r="C524" s="393">
        <v>411</v>
      </c>
      <c r="D524" s="393">
        <v>7</v>
      </c>
      <c r="E524" s="410" t="s">
        <v>333</v>
      </c>
      <c r="F524" s="395"/>
      <c r="G524" s="395"/>
      <c r="H524" s="396" t="e">
        <f t="shared" si="7"/>
        <v>#DIV/0!</v>
      </c>
    </row>
    <row r="525" spans="1:8" ht="15" customHeight="1">
      <c r="A525" s="627"/>
      <c r="B525" s="627"/>
      <c r="C525" s="393">
        <v>411</v>
      </c>
      <c r="D525" s="393">
        <v>9</v>
      </c>
      <c r="E525" s="410" t="s">
        <v>333</v>
      </c>
      <c r="F525" s="395"/>
      <c r="G525" s="395"/>
      <c r="H525" s="396" t="e">
        <f t="shared" si="7"/>
        <v>#DIV/0!</v>
      </c>
    </row>
    <row r="526" spans="1:8" ht="15" customHeight="1">
      <c r="A526" s="627"/>
      <c r="B526" s="627"/>
      <c r="C526" s="393">
        <v>412</v>
      </c>
      <c r="D526" s="393">
        <v>0</v>
      </c>
      <c r="E526" s="410" t="s">
        <v>334</v>
      </c>
      <c r="F526" s="395"/>
      <c r="G526" s="395"/>
      <c r="H526" s="396" t="e">
        <f t="shared" si="7"/>
        <v>#DIV/0!</v>
      </c>
    </row>
    <row r="527" spans="1:8" ht="15" customHeight="1">
      <c r="A527" s="627"/>
      <c r="B527" s="627"/>
      <c r="C527" s="393">
        <v>412</v>
      </c>
      <c r="D527" s="393">
        <v>7</v>
      </c>
      <c r="E527" s="410" t="s">
        <v>334</v>
      </c>
      <c r="F527" s="395"/>
      <c r="G527" s="395"/>
      <c r="H527" s="396" t="e">
        <f t="shared" si="7"/>
        <v>#DIV/0!</v>
      </c>
    </row>
    <row r="528" spans="1:8" ht="15" customHeight="1">
      <c r="A528" s="627"/>
      <c r="B528" s="627"/>
      <c r="C528" s="393">
        <v>412</v>
      </c>
      <c r="D528" s="393">
        <v>9</v>
      </c>
      <c r="E528" s="410" t="s">
        <v>334</v>
      </c>
      <c r="F528" s="395"/>
      <c r="G528" s="395"/>
      <c r="H528" s="396" t="e">
        <f t="shared" si="7"/>
        <v>#DIV/0!</v>
      </c>
    </row>
    <row r="529" spans="1:8" ht="15" customHeight="1">
      <c r="A529" s="627"/>
      <c r="B529" s="627"/>
      <c r="C529" s="393">
        <v>417</v>
      </c>
      <c r="D529" s="393">
        <v>0</v>
      </c>
      <c r="E529" s="401" t="s">
        <v>335</v>
      </c>
      <c r="F529" s="395"/>
      <c r="G529" s="395"/>
      <c r="H529" s="396" t="e">
        <f t="shared" si="7"/>
        <v>#DIV/0!</v>
      </c>
    </row>
    <row r="530" spans="1:8" ht="15" customHeight="1">
      <c r="A530" s="627"/>
      <c r="B530" s="627"/>
      <c r="C530" s="393">
        <v>417</v>
      </c>
      <c r="D530" s="393">
        <v>7</v>
      </c>
      <c r="E530" s="401" t="s">
        <v>335</v>
      </c>
      <c r="F530" s="395"/>
      <c r="G530" s="395"/>
      <c r="H530" s="396" t="e">
        <f t="shared" si="7"/>
        <v>#DIV/0!</v>
      </c>
    </row>
    <row r="531" spans="1:8" ht="15" customHeight="1">
      <c r="A531" s="627"/>
      <c r="B531" s="627"/>
      <c r="C531" s="393">
        <v>417</v>
      </c>
      <c r="D531" s="393">
        <v>9</v>
      </c>
      <c r="E531" s="401" t="s">
        <v>335</v>
      </c>
      <c r="F531" s="395"/>
      <c r="G531" s="395"/>
      <c r="H531" s="396" t="e">
        <f t="shared" si="7"/>
        <v>#DIV/0!</v>
      </c>
    </row>
    <row r="532" spans="1:8" ht="15" customHeight="1">
      <c r="A532" s="627"/>
      <c r="B532" s="627"/>
      <c r="C532" s="393">
        <v>421</v>
      </c>
      <c r="D532" s="393">
        <v>7</v>
      </c>
      <c r="E532" s="410" t="s">
        <v>327</v>
      </c>
      <c r="F532" s="395"/>
      <c r="G532" s="395"/>
      <c r="H532" s="396" t="e">
        <f t="shared" si="7"/>
        <v>#DIV/0!</v>
      </c>
    </row>
    <row r="533" spans="1:8" ht="15" customHeight="1">
      <c r="A533" s="627"/>
      <c r="B533" s="627"/>
      <c r="C533" s="393">
        <v>421</v>
      </c>
      <c r="D533" s="393">
        <v>9</v>
      </c>
      <c r="E533" s="410" t="s">
        <v>327</v>
      </c>
      <c r="F533" s="395"/>
      <c r="G533" s="395"/>
      <c r="H533" s="396" t="e">
        <f t="shared" si="7"/>
        <v>#DIV/0!</v>
      </c>
    </row>
    <row r="534" spans="1:8" ht="15" customHeight="1">
      <c r="A534" s="627"/>
      <c r="B534" s="627"/>
      <c r="C534" s="393">
        <v>426</v>
      </c>
      <c r="D534" s="393">
        <v>0</v>
      </c>
      <c r="E534" s="410" t="s">
        <v>336</v>
      </c>
      <c r="F534" s="395"/>
      <c r="G534" s="395"/>
      <c r="H534" s="396" t="e">
        <f t="shared" si="7"/>
        <v>#DIV/0!</v>
      </c>
    </row>
    <row r="535" spans="1:8" ht="15" customHeight="1">
      <c r="A535" s="627"/>
      <c r="B535" s="627"/>
      <c r="C535" s="393">
        <v>430</v>
      </c>
      <c r="D535" s="393">
        <v>0</v>
      </c>
      <c r="E535" s="410" t="s">
        <v>324</v>
      </c>
      <c r="F535" s="395"/>
      <c r="G535" s="395"/>
      <c r="H535" s="396" t="e">
        <f t="shared" si="7"/>
        <v>#DIV/0!</v>
      </c>
    </row>
    <row r="536" spans="1:8" ht="15" customHeight="1">
      <c r="A536" s="627"/>
      <c r="B536" s="627"/>
      <c r="C536" s="393">
        <v>430</v>
      </c>
      <c r="D536" s="393">
        <v>7</v>
      </c>
      <c r="E536" s="410" t="s">
        <v>324</v>
      </c>
      <c r="F536" s="395"/>
      <c r="G536" s="395"/>
      <c r="H536" s="396" t="e">
        <f t="shared" si="7"/>
        <v>#DIV/0!</v>
      </c>
    </row>
    <row r="537" spans="1:8" ht="15" customHeight="1">
      <c r="A537" s="627"/>
      <c r="B537" s="627"/>
      <c r="C537" s="393">
        <v>430</v>
      </c>
      <c r="D537" s="393">
        <v>9</v>
      </c>
      <c r="E537" s="410" t="s">
        <v>324</v>
      </c>
      <c r="F537" s="395"/>
      <c r="G537" s="395"/>
      <c r="H537" s="396" t="e">
        <f t="shared" ref="H537:H600" si="8">G537/F537*100</f>
        <v>#DIV/0!</v>
      </c>
    </row>
    <row r="538" spans="1:8" ht="15" customHeight="1">
      <c r="A538" s="627"/>
      <c r="B538" s="627"/>
      <c r="C538" s="393">
        <v>436</v>
      </c>
      <c r="D538" s="393">
        <v>0</v>
      </c>
      <c r="E538" s="402" t="s">
        <v>340</v>
      </c>
      <c r="F538" s="395"/>
      <c r="G538" s="395"/>
      <c r="H538" s="396" t="e">
        <f t="shared" si="8"/>
        <v>#DIV/0!</v>
      </c>
    </row>
    <row r="539" spans="1:8" ht="15" customHeight="1">
      <c r="A539" s="627"/>
      <c r="B539" s="627"/>
      <c r="C539" s="393">
        <v>440</v>
      </c>
      <c r="D539" s="393">
        <v>7</v>
      </c>
      <c r="E539" s="402" t="s">
        <v>354</v>
      </c>
      <c r="F539" s="395"/>
      <c r="G539" s="395"/>
      <c r="H539" s="396" t="e">
        <f t="shared" si="8"/>
        <v>#DIV/0!</v>
      </c>
    </row>
    <row r="540" spans="1:8" ht="15" customHeight="1">
      <c r="A540" s="627"/>
      <c r="B540" s="627"/>
      <c r="C540" s="393">
        <v>440</v>
      </c>
      <c r="D540" s="393">
        <v>9</v>
      </c>
      <c r="E540" s="402" t="s">
        <v>354</v>
      </c>
      <c r="F540" s="395"/>
      <c r="G540" s="395"/>
      <c r="H540" s="396" t="e">
        <f t="shared" si="8"/>
        <v>#DIV/0!</v>
      </c>
    </row>
    <row r="541" spans="1:8" ht="15" customHeight="1">
      <c r="A541" s="627"/>
      <c r="B541" s="627"/>
      <c r="C541" s="393">
        <v>443</v>
      </c>
      <c r="D541" s="393">
        <v>7</v>
      </c>
      <c r="E541" s="410" t="s">
        <v>356</v>
      </c>
      <c r="F541" s="395"/>
      <c r="G541" s="395"/>
      <c r="H541" s="396" t="e">
        <f t="shared" si="8"/>
        <v>#DIV/0!</v>
      </c>
    </row>
    <row r="542" spans="1:8" ht="15" customHeight="1">
      <c r="A542" s="627"/>
      <c r="B542" s="627"/>
      <c r="C542" s="393">
        <v>443</v>
      </c>
      <c r="D542" s="393">
        <v>9</v>
      </c>
      <c r="E542" s="410" t="s">
        <v>356</v>
      </c>
      <c r="F542" s="395"/>
      <c r="G542" s="395"/>
      <c r="H542" s="396" t="e">
        <f t="shared" si="8"/>
        <v>#DIV/0!</v>
      </c>
    </row>
    <row r="543" spans="1:8" ht="15" customHeight="1">
      <c r="A543" s="627"/>
      <c r="B543" s="627"/>
      <c r="C543" s="393">
        <v>444</v>
      </c>
      <c r="D543" s="393">
        <v>0</v>
      </c>
      <c r="E543" s="410" t="s">
        <v>343</v>
      </c>
      <c r="F543" s="395"/>
      <c r="G543" s="395"/>
      <c r="H543" s="396" t="e">
        <f t="shared" si="8"/>
        <v>#DIV/0!</v>
      </c>
    </row>
    <row r="544" spans="1:8" ht="15" customHeight="1">
      <c r="A544" s="387">
        <v>854</v>
      </c>
      <c r="B544" s="387"/>
      <c r="C544" s="388"/>
      <c r="D544" s="388"/>
      <c r="E544" s="407" t="s">
        <v>95</v>
      </c>
      <c r="F544" s="390">
        <f>F545+F565+F581+F597+F599+F601+F621+F626</f>
        <v>0</v>
      </c>
      <c r="G544" s="390">
        <f>G545+G565+G581+G597+G599+G601+G621+G626</f>
        <v>0</v>
      </c>
      <c r="H544" s="391" t="e">
        <f t="shared" si="8"/>
        <v>#DIV/0!</v>
      </c>
    </row>
    <row r="545" spans="1:8" ht="15" customHeight="1">
      <c r="A545" s="629"/>
      <c r="B545" s="380">
        <v>85406</v>
      </c>
      <c r="C545" s="393"/>
      <c r="D545" s="393"/>
      <c r="E545" s="183" t="s">
        <v>44</v>
      </c>
      <c r="F545" s="395">
        <f>SUM(F546:F564)</f>
        <v>0</v>
      </c>
      <c r="G545" s="395">
        <f>SUM(G546:G564)</f>
        <v>0</v>
      </c>
      <c r="H545" s="396" t="e">
        <f t="shared" si="8"/>
        <v>#DIV/0!</v>
      </c>
    </row>
    <row r="546" spans="1:8" ht="15" customHeight="1">
      <c r="A546" s="630"/>
      <c r="B546" s="627"/>
      <c r="C546" s="393">
        <v>302</v>
      </c>
      <c r="D546" s="393">
        <v>0</v>
      </c>
      <c r="E546" s="411" t="s">
        <v>330</v>
      </c>
      <c r="F546" s="395"/>
      <c r="G546" s="395"/>
      <c r="H546" s="396" t="e">
        <f t="shared" si="8"/>
        <v>#DIV/0!</v>
      </c>
    </row>
    <row r="547" spans="1:8" ht="15" customHeight="1">
      <c r="A547" s="630"/>
      <c r="B547" s="627"/>
      <c r="C547" s="393">
        <v>401</v>
      </c>
      <c r="D547" s="393">
        <v>0</v>
      </c>
      <c r="E547" s="410" t="s">
        <v>331</v>
      </c>
      <c r="F547" s="395"/>
      <c r="G547" s="395"/>
      <c r="H547" s="396" t="e">
        <f t="shared" si="8"/>
        <v>#DIV/0!</v>
      </c>
    </row>
    <row r="548" spans="1:8" ht="15" customHeight="1">
      <c r="A548" s="630"/>
      <c r="B548" s="627"/>
      <c r="C548" s="393">
        <v>404</v>
      </c>
      <c r="D548" s="393">
        <v>0</v>
      </c>
      <c r="E548" s="410" t="s">
        <v>332</v>
      </c>
      <c r="F548" s="395"/>
      <c r="G548" s="395"/>
      <c r="H548" s="396" t="e">
        <f t="shared" si="8"/>
        <v>#DIV/0!</v>
      </c>
    </row>
    <row r="549" spans="1:8" ht="15" customHeight="1">
      <c r="A549" s="630"/>
      <c r="B549" s="627"/>
      <c r="C549" s="393">
        <v>411</v>
      </c>
      <c r="D549" s="393">
        <v>0</v>
      </c>
      <c r="E549" s="410" t="s">
        <v>333</v>
      </c>
      <c r="F549" s="395"/>
      <c r="G549" s="395"/>
      <c r="H549" s="396" t="e">
        <f t="shared" si="8"/>
        <v>#DIV/0!</v>
      </c>
    </row>
    <row r="550" spans="1:8" ht="15" customHeight="1">
      <c r="A550" s="630"/>
      <c r="B550" s="627"/>
      <c r="C550" s="393">
        <v>412</v>
      </c>
      <c r="D550" s="393">
        <v>0</v>
      </c>
      <c r="E550" s="410" t="s">
        <v>334</v>
      </c>
      <c r="F550" s="395"/>
      <c r="G550" s="395"/>
      <c r="H550" s="396" t="e">
        <f t="shared" si="8"/>
        <v>#DIV/0!</v>
      </c>
    </row>
    <row r="551" spans="1:8" ht="15" customHeight="1">
      <c r="A551" s="630"/>
      <c r="B551" s="627"/>
      <c r="C551" s="393">
        <v>417</v>
      </c>
      <c r="D551" s="393">
        <v>0</v>
      </c>
      <c r="E551" s="401" t="s">
        <v>335</v>
      </c>
      <c r="F551" s="395"/>
      <c r="G551" s="395"/>
      <c r="H551" s="396" t="e">
        <f t="shared" si="8"/>
        <v>#DIV/0!</v>
      </c>
    </row>
    <row r="552" spans="1:8" ht="15" customHeight="1">
      <c r="A552" s="630"/>
      <c r="B552" s="627"/>
      <c r="C552" s="393">
        <v>421</v>
      </c>
      <c r="D552" s="393">
        <v>0</v>
      </c>
      <c r="E552" s="410" t="s">
        <v>327</v>
      </c>
      <c r="F552" s="395"/>
      <c r="G552" s="395"/>
      <c r="H552" s="396" t="e">
        <f t="shared" si="8"/>
        <v>#DIV/0!</v>
      </c>
    </row>
    <row r="553" spans="1:8" ht="15" customHeight="1">
      <c r="A553" s="630"/>
      <c r="B553" s="627"/>
      <c r="C553" s="393">
        <v>424</v>
      </c>
      <c r="D553" s="393">
        <v>0</v>
      </c>
      <c r="E553" s="410" t="s">
        <v>358</v>
      </c>
      <c r="F553" s="395"/>
      <c r="G553" s="395"/>
      <c r="H553" s="396" t="e">
        <f t="shared" si="8"/>
        <v>#DIV/0!</v>
      </c>
    </row>
    <row r="554" spans="1:8" ht="15" customHeight="1">
      <c r="A554" s="630"/>
      <c r="B554" s="627"/>
      <c r="C554" s="393">
        <v>426</v>
      </c>
      <c r="D554" s="393">
        <v>0</v>
      </c>
      <c r="E554" s="410" t="s">
        <v>336</v>
      </c>
      <c r="F554" s="395"/>
      <c r="G554" s="395"/>
      <c r="H554" s="396" t="e">
        <f t="shared" si="8"/>
        <v>#DIV/0!</v>
      </c>
    </row>
    <row r="555" spans="1:8" ht="15" customHeight="1">
      <c r="A555" s="630"/>
      <c r="B555" s="627"/>
      <c r="C555" s="393">
        <v>427</v>
      </c>
      <c r="D555" s="393">
        <v>0</v>
      </c>
      <c r="E555" s="410" t="s">
        <v>337</v>
      </c>
      <c r="F555" s="395"/>
      <c r="G555" s="395"/>
      <c r="H555" s="396" t="e">
        <f t="shared" si="8"/>
        <v>#DIV/0!</v>
      </c>
    </row>
    <row r="556" spans="1:8" ht="15" customHeight="1">
      <c r="A556" s="630"/>
      <c r="B556" s="627"/>
      <c r="C556" s="393">
        <v>428</v>
      </c>
      <c r="D556" s="393">
        <v>0</v>
      </c>
      <c r="E556" s="410" t="s">
        <v>338</v>
      </c>
      <c r="F556" s="395"/>
      <c r="G556" s="395"/>
      <c r="H556" s="396" t="e">
        <f t="shared" si="8"/>
        <v>#DIV/0!</v>
      </c>
    </row>
    <row r="557" spans="1:8" ht="15" customHeight="1">
      <c r="A557" s="630"/>
      <c r="B557" s="627"/>
      <c r="C557" s="393">
        <v>430</v>
      </c>
      <c r="D557" s="393">
        <v>0</v>
      </c>
      <c r="E557" s="410" t="s">
        <v>324</v>
      </c>
      <c r="F557" s="395"/>
      <c r="G557" s="395"/>
      <c r="H557" s="396" t="e">
        <f t="shared" si="8"/>
        <v>#DIV/0!</v>
      </c>
    </row>
    <row r="558" spans="1:8" ht="15" customHeight="1">
      <c r="A558" s="630"/>
      <c r="B558" s="627"/>
      <c r="C558" s="393">
        <v>435</v>
      </c>
      <c r="D558" s="393">
        <v>0</v>
      </c>
      <c r="E558" s="401" t="s">
        <v>339</v>
      </c>
      <c r="F558" s="395"/>
      <c r="G558" s="395"/>
      <c r="H558" s="396" t="e">
        <f t="shared" si="8"/>
        <v>#DIV/0!</v>
      </c>
    </row>
    <row r="559" spans="1:8" ht="15" customHeight="1">
      <c r="A559" s="630"/>
      <c r="B559" s="627"/>
      <c r="C559" s="393">
        <v>436</v>
      </c>
      <c r="D559" s="393">
        <v>0</v>
      </c>
      <c r="E559" s="402" t="s">
        <v>340</v>
      </c>
      <c r="F559" s="395"/>
      <c r="G559" s="395"/>
      <c r="H559" s="396" t="e">
        <f t="shared" si="8"/>
        <v>#DIV/0!</v>
      </c>
    </row>
    <row r="560" spans="1:8" ht="15" customHeight="1">
      <c r="A560" s="630"/>
      <c r="B560" s="627"/>
      <c r="C560" s="393">
        <v>437</v>
      </c>
      <c r="D560" s="393">
        <v>0</v>
      </c>
      <c r="E560" s="402" t="s">
        <v>341</v>
      </c>
      <c r="F560" s="395"/>
      <c r="G560" s="395"/>
      <c r="H560" s="396" t="e">
        <f t="shared" si="8"/>
        <v>#DIV/0!</v>
      </c>
    </row>
    <row r="561" spans="1:8" ht="15" customHeight="1">
      <c r="A561" s="630"/>
      <c r="B561" s="627"/>
      <c r="C561" s="393">
        <v>441</v>
      </c>
      <c r="D561" s="393">
        <v>0</v>
      </c>
      <c r="E561" s="410" t="s">
        <v>342</v>
      </c>
      <c r="F561" s="395"/>
      <c r="G561" s="395"/>
      <c r="H561" s="396" t="e">
        <f t="shared" si="8"/>
        <v>#DIV/0!</v>
      </c>
    </row>
    <row r="562" spans="1:8" ht="15" customHeight="1">
      <c r="A562" s="630"/>
      <c r="B562" s="627"/>
      <c r="C562" s="393">
        <v>444</v>
      </c>
      <c r="D562" s="393">
        <v>0</v>
      </c>
      <c r="E562" s="410" t="s">
        <v>343</v>
      </c>
      <c r="F562" s="395"/>
      <c r="G562" s="395"/>
      <c r="H562" s="396" t="e">
        <f t="shared" si="8"/>
        <v>#DIV/0!</v>
      </c>
    </row>
    <row r="563" spans="1:8" ht="15" customHeight="1">
      <c r="A563" s="630"/>
      <c r="B563" s="627"/>
      <c r="C563" s="393">
        <v>470</v>
      </c>
      <c r="D563" s="393">
        <v>0</v>
      </c>
      <c r="E563" s="404" t="s">
        <v>348</v>
      </c>
      <c r="F563" s="395"/>
      <c r="G563" s="395"/>
      <c r="H563" s="396" t="e">
        <f t="shared" si="8"/>
        <v>#DIV/0!</v>
      </c>
    </row>
    <row r="564" spans="1:8" ht="15" customHeight="1">
      <c r="A564" s="630"/>
      <c r="B564" s="627"/>
      <c r="C564" s="393">
        <v>605</v>
      </c>
      <c r="D564" s="393">
        <v>0</v>
      </c>
      <c r="E564" s="402" t="s">
        <v>349</v>
      </c>
      <c r="F564" s="395"/>
      <c r="G564" s="395"/>
      <c r="H564" s="396" t="e">
        <f t="shared" si="8"/>
        <v>#DIV/0!</v>
      </c>
    </row>
    <row r="565" spans="1:8" ht="15" customHeight="1">
      <c r="A565" s="630"/>
      <c r="B565" s="380">
        <v>85407</v>
      </c>
      <c r="C565" s="393"/>
      <c r="D565" s="393"/>
      <c r="E565" s="183" t="s">
        <v>45</v>
      </c>
      <c r="F565" s="395">
        <f>SUM(F566:F580)</f>
        <v>0</v>
      </c>
      <c r="G565" s="395">
        <f>SUM(G566:G580)</f>
        <v>0</v>
      </c>
      <c r="H565" s="396" t="e">
        <f t="shared" si="8"/>
        <v>#DIV/0!</v>
      </c>
    </row>
    <row r="566" spans="1:8" ht="15" customHeight="1">
      <c r="A566" s="630"/>
      <c r="B566" s="627"/>
      <c r="C566" s="393">
        <v>302</v>
      </c>
      <c r="D566" s="393">
        <v>0</v>
      </c>
      <c r="E566" s="401" t="s">
        <v>330</v>
      </c>
      <c r="F566" s="395"/>
      <c r="G566" s="395"/>
      <c r="H566" s="396" t="e">
        <f t="shared" si="8"/>
        <v>#DIV/0!</v>
      </c>
    </row>
    <row r="567" spans="1:8" ht="15" customHeight="1">
      <c r="A567" s="630"/>
      <c r="B567" s="627"/>
      <c r="C567" s="393">
        <v>401</v>
      </c>
      <c r="D567" s="393">
        <v>0</v>
      </c>
      <c r="E567" s="410" t="s">
        <v>331</v>
      </c>
      <c r="F567" s="395"/>
      <c r="G567" s="395"/>
      <c r="H567" s="396" t="e">
        <f t="shared" si="8"/>
        <v>#DIV/0!</v>
      </c>
    </row>
    <row r="568" spans="1:8" ht="15" customHeight="1">
      <c r="A568" s="630"/>
      <c r="B568" s="627"/>
      <c r="C568" s="393">
        <v>404</v>
      </c>
      <c r="D568" s="393">
        <v>0</v>
      </c>
      <c r="E568" s="410" t="s">
        <v>332</v>
      </c>
      <c r="F568" s="395"/>
      <c r="G568" s="395"/>
      <c r="H568" s="396" t="e">
        <f t="shared" si="8"/>
        <v>#DIV/0!</v>
      </c>
    </row>
    <row r="569" spans="1:8" ht="15" customHeight="1">
      <c r="A569" s="630"/>
      <c r="B569" s="627"/>
      <c r="C569" s="393">
        <v>411</v>
      </c>
      <c r="D569" s="393">
        <v>0</v>
      </c>
      <c r="E569" s="410" t="s">
        <v>333</v>
      </c>
      <c r="F569" s="395"/>
      <c r="G569" s="395"/>
      <c r="H569" s="396" t="e">
        <f t="shared" si="8"/>
        <v>#DIV/0!</v>
      </c>
    </row>
    <row r="570" spans="1:8" ht="15" customHeight="1">
      <c r="A570" s="630"/>
      <c r="B570" s="627"/>
      <c r="C570" s="393">
        <v>412</v>
      </c>
      <c r="D570" s="393">
        <v>0</v>
      </c>
      <c r="E570" s="410" t="s">
        <v>334</v>
      </c>
      <c r="F570" s="395"/>
      <c r="G570" s="395"/>
      <c r="H570" s="396" t="e">
        <f t="shared" si="8"/>
        <v>#DIV/0!</v>
      </c>
    </row>
    <row r="571" spans="1:8" ht="15" customHeight="1">
      <c r="A571" s="630"/>
      <c r="B571" s="627"/>
      <c r="C571" s="393">
        <v>417</v>
      </c>
      <c r="D571" s="393">
        <v>0</v>
      </c>
      <c r="E571" s="401" t="s">
        <v>335</v>
      </c>
      <c r="F571" s="395"/>
      <c r="G571" s="395"/>
      <c r="H571" s="396" t="e">
        <f t="shared" si="8"/>
        <v>#DIV/0!</v>
      </c>
    </row>
    <row r="572" spans="1:8" ht="15" customHeight="1">
      <c r="A572" s="630"/>
      <c r="B572" s="627"/>
      <c r="C572" s="393">
        <v>421</v>
      </c>
      <c r="D572" s="393">
        <v>0</v>
      </c>
      <c r="E572" s="410" t="s">
        <v>327</v>
      </c>
      <c r="F572" s="395"/>
      <c r="G572" s="395"/>
      <c r="H572" s="396" t="e">
        <f t="shared" si="8"/>
        <v>#DIV/0!</v>
      </c>
    </row>
    <row r="573" spans="1:8" ht="15" customHeight="1">
      <c r="A573" s="630"/>
      <c r="B573" s="627"/>
      <c r="C573" s="393">
        <v>426</v>
      </c>
      <c r="D573" s="393">
        <v>0</v>
      </c>
      <c r="E573" s="410" t="s">
        <v>336</v>
      </c>
      <c r="F573" s="395"/>
      <c r="G573" s="395"/>
      <c r="H573" s="396" t="e">
        <f t="shared" si="8"/>
        <v>#DIV/0!</v>
      </c>
    </row>
    <row r="574" spans="1:8" ht="15" customHeight="1">
      <c r="A574" s="630"/>
      <c r="B574" s="627"/>
      <c r="C574" s="393">
        <v>427</v>
      </c>
      <c r="D574" s="393">
        <v>0</v>
      </c>
      <c r="E574" s="410" t="s">
        <v>337</v>
      </c>
      <c r="F574" s="395"/>
      <c r="G574" s="395"/>
      <c r="H574" s="396" t="e">
        <f t="shared" si="8"/>
        <v>#DIV/0!</v>
      </c>
    </row>
    <row r="575" spans="1:8" ht="15" customHeight="1">
      <c r="A575" s="630"/>
      <c r="B575" s="627"/>
      <c r="C575" s="393">
        <v>428</v>
      </c>
      <c r="D575" s="393">
        <v>0</v>
      </c>
      <c r="E575" s="410" t="s">
        <v>338</v>
      </c>
      <c r="F575" s="395"/>
      <c r="G575" s="395"/>
      <c r="H575" s="396" t="e">
        <f t="shared" si="8"/>
        <v>#DIV/0!</v>
      </c>
    </row>
    <row r="576" spans="1:8" ht="15" customHeight="1">
      <c r="A576" s="630"/>
      <c r="B576" s="627"/>
      <c r="C576" s="393">
        <v>430</v>
      </c>
      <c r="D576" s="393">
        <v>0</v>
      </c>
      <c r="E576" s="410" t="s">
        <v>324</v>
      </c>
      <c r="F576" s="395"/>
      <c r="G576" s="395"/>
      <c r="H576" s="396" t="e">
        <f t="shared" si="8"/>
        <v>#DIV/0!</v>
      </c>
    </row>
    <row r="577" spans="1:8" ht="15" customHeight="1">
      <c r="A577" s="630"/>
      <c r="B577" s="627"/>
      <c r="C577" s="393">
        <v>437</v>
      </c>
      <c r="D577" s="393">
        <v>0</v>
      </c>
      <c r="E577" s="402" t="s">
        <v>341</v>
      </c>
      <c r="F577" s="395"/>
      <c r="G577" s="395"/>
      <c r="H577" s="396" t="e">
        <f t="shared" si="8"/>
        <v>#DIV/0!</v>
      </c>
    </row>
    <row r="578" spans="1:8" ht="15" customHeight="1">
      <c r="A578" s="630"/>
      <c r="B578" s="627"/>
      <c r="C578" s="393">
        <v>441</v>
      </c>
      <c r="D578" s="393">
        <v>0</v>
      </c>
      <c r="E578" s="410" t="s">
        <v>342</v>
      </c>
      <c r="F578" s="395"/>
      <c r="G578" s="395"/>
      <c r="H578" s="396" t="e">
        <f t="shared" si="8"/>
        <v>#DIV/0!</v>
      </c>
    </row>
    <row r="579" spans="1:8" ht="15" customHeight="1">
      <c r="A579" s="630"/>
      <c r="B579" s="627"/>
      <c r="C579" s="393">
        <v>444</v>
      </c>
      <c r="D579" s="393">
        <v>0</v>
      </c>
      <c r="E579" s="410" t="s">
        <v>343</v>
      </c>
      <c r="F579" s="395"/>
      <c r="G579" s="395"/>
      <c r="H579" s="396" t="e">
        <f t="shared" si="8"/>
        <v>#DIV/0!</v>
      </c>
    </row>
    <row r="580" spans="1:8" ht="15" customHeight="1">
      <c r="A580" s="630"/>
      <c r="B580" s="627"/>
      <c r="C580" s="393">
        <v>605</v>
      </c>
      <c r="D580" s="393">
        <v>0</v>
      </c>
      <c r="E580" s="402" t="s">
        <v>349</v>
      </c>
      <c r="F580" s="395"/>
      <c r="G580" s="395"/>
      <c r="H580" s="396" t="e">
        <f t="shared" si="8"/>
        <v>#DIV/0!</v>
      </c>
    </row>
    <row r="581" spans="1:8" ht="15" customHeight="1">
      <c r="A581" s="630"/>
      <c r="B581" s="380">
        <v>85410</v>
      </c>
      <c r="C581" s="393"/>
      <c r="D581" s="393"/>
      <c r="E581" s="183" t="s">
        <v>46</v>
      </c>
      <c r="F581" s="395">
        <f>SUM(F582:F596)</f>
        <v>0</v>
      </c>
      <c r="G581" s="395">
        <f>SUM(G582:G596)</f>
        <v>0</v>
      </c>
      <c r="H581" s="396" t="e">
        <f t="shared" si="8"/>
        <v>#DIV/0!</v>
      </c>
    </row>
    <row r="582" spans="1:8" ht="15" customHeight="1">
      <c r="A582" s="630"/>
      <c r="B582" s="627"/>
      <c r="C582" s="393">
        <v>302</v>
      </c>
      <c r="D582" s="393">
        <v>0</v>
      </c>
      <c r="E582" s="401" t="s">
        <v>330</v>
      </c>
      <c r="F582" s="395"/>
      <c r="G582" s="395"/>
      <c r="H582" s="396" t="e">
        <f t="shared" si="8"/>
        <v>#DIV/0!</v>
      </c>
    </row>
    <row r="583" spans="1:8" ht="15" customHeight="1">
      <c r="A583" s="630"/>
      <c r="B583" s="627"/>
      <c r="C583" s="393">
        <v>401</v>
      </c>
      <c r="D583" s="393">
        <v>0</v>
      </c>
      <c r="E583" s="410" t="s">
        <v>331</v>
      </c>
      <c r="F583" s="395"/>
      <c r="G583" s="395"/>
      <c r="H583" s="396" t="e">
        <f t="shared" si="8"/>
        <v>#DIV/0!</v>
      </c>
    </row>
    <row r="584" spans="1:8" ht="15" customHeight="1">
      <c r="A584" s="630"/>
      <c r="B584" s="627"/>
      <c r="C584" s="393">
        <v>404</v>
      </c>
      <c r="D584" s="393">
        <v>0</v>
      </c>
      <c r="E584" s="410" t="s">
        <v>332</v>
      </c>
      <c r="F584" s="395"/>
      <c r="G584" s="395"/>
      <c r="H584" s="396" t="e">
        <f t="shared" si="8"/>
        <v>#DIV/0!</v>
      </c>
    </row>
    <row r="585" spans="1:8" ht="15" customHeight="1">
      <c r="A585" s="630"/>
      <c r="B585" s="627"/>
      <c r="C585" s="393">
        <v>411</v>
      </c>
      <c r="D585" s="393">
        <v>0</v>
      </c>
      <c r="E585" s="410" t="s">
        <v>333</v>
      </c>
      <c r="F585" s="395"/>
      <c r="G585" s="395"/>
      <c r="H585" s="396" t="e">
        <f t="shared" si="8"/>
        <v>#DIV/0!</v>
      </c>
    </row>
    <row r="586" spans="1:8" ht="15" customHeight="1">
      <c r="A586" s="630"/>
      <c r="B586" s="627"/>
      <c r="C586" s="393">
        <v>412</v>
      </c>
      <c r="D586" s="393">
        <v>0</v>
      </c>
      <c r="E586" s="410" t="s">
        <v>334</v>
      </c>
      <c r="F586" s="395"/>
      <c r="G586" s="395"/>
      <c r="H586" s="396" t="e">
        <f t="shared" si="8"/>
        <v>#DIV/0!</v>
      </c>
    </row>
    <row r="587" spans="1:8" ht="15" customHeight="1">
      <c r="A587" s="630"/>
      <c r="B587" s="627"/>
      <c r="C587" s="393">
        <v>417</v>
      </c>
      <c r="D587" s="393">
        <v>0</v>
      </c>
      <c r="E587" s="401" t="s">
        <v>335</v>
      </c>
      <c r="F587" s="395"/>
      <c r="G587" s="395"/>
      <c r="H587" s="396" t="e">
        <f t="shared" si="8"/>
        <v>#DIV/0!</v>
      </c>
    </row>
    <row r="588" spans="1:8" ht="15" customHeight="1">
      <c r="A588" s="630"/>
      <c r="B588" s="627"/>
      <c r="C588" s="393">
        <v>421</v>
      </c>
      <c r="D588" s="393">
        <v>0</v>
      </c>
      <c r="E588" s="410" t="s">
        <v>327</v>
      </c>
      <c r="F588" s="395"/>
      <c r="G588" s="395"/>
      <c r="H588" s="396" t="e">
        <f t="shared" si="8"/>
        <v>#DIV/0!</v>
      </c>
    </row>
    <row r="589" spans="1:8" ht="15" customHeight="1">
      <c r="A589" s="630"/>
      <c r="B589" s="627"/>
      <c r="C589" s="393">
        <v>422</v>
      </c>
      <c r="D589" s="393">
        <v>0</v>
      </c>
      <c r="E589" s="410" t="s">
        <v>380</v>
      </c>
      <c r="F589" s="395"/>
      <c r="G589" s="395"/>
      <c r="H589" s="396" t="e">
        <f t="shared" si="8"/>
        <v>#DIV/0!</v>
      </c>
    </row>
    <row r="590" spans="1:8" ht="15" customHeight="1">
      <c r="A590" s="630"/>
      <c r="B590" s="627"/>
      <c r="C590" s="393">
        <v>426</v>
      </c>
      <c r="D590" s="393">
        <v>0</v>
      </c>
      <c r="E590" s="410" t="s">
        <v>336</v>
      </c>
      <c r="F590" s="395"/>
      <c r="G590" s="395"/>
      <c r="H590" s="396" t="e">
        <f t="shared" si="8"/>
        <v>#DIV/0!</v>
      </c>
    </row>
    <row r="591" spans="1:8" ht="15" customHeight="1">
      <c r="A591" s="630"/>
      <c r="B591" s="627"/>
      <c r="C591" s="393">
        <v>430</v>
      </c>
      <c r="D591" s="393">
        <v>0</v>
      </c>
      <c r="E591" s="410" t="s">
        <v>324</v>
      </c>
      <c r="F591" s="395"/>
      <c r="G591" s="395"/>
      <c r="H591" s="396" t="e">
        <f t="shared" si="8"/>
        <v>#DIV/0!</v>
      </c>
    </row>
    <row r="592" spans="1:8" ht="15" customHeight="1">
      <c r="A592" s="630"/>
      <c r="B592" s="627"/>
      <c r="C592" s="393">
        <v>437</v>
      </c>
      <c r="D592" s="393">
        <v>0</v>
      </c>
      <c r="E592" s="402" t="s">
        <v>341</v>
      </c>
      <c r="F592" s="395"/>
      <c r="G592" s="395"/>
      <c r="H592" s="396" t="e">
        <f t="shared" si="8"/>
        <v>#DIV/0!</v>
      </c>
    </row>
    <row r="593" spans="1:8" ht="15" customHeight="1">
      <c r="A593" s="630"/>
      <c r="B593" s="627"/>
      <c r="C593" s="393">
        <v>441</v>
      </c>
      <c r="D593" s="393">
        <v>0</v>
      </c>
      <c r="E593" s="410" t="s">
        <v>342</v>
      </c>
      <c r="F593" s="395"/>
      <c r="G593" s="395"/>
      <c r="H593" s="396" t="e">
        <f t="shared" si="8"/>
        <v>#DIV/0!</v>
      </c>
    </row>
    <row r="594" spans="1:8" ht="15" customHeight="1">
      <c r="A594" s="630"/>
      <c r="B594" s="627"/>
      <c r="C594" s="393">
        <v>444</v>
      </c>
      <c r="D594" s="393">
        <v>0</v>
      </c>
      <c r="E594" s="410" t="s">
        <v>343</v>
      </c>
      <c r="F594" s="395"/>
      <c r="G594" s="395"/>
      <c r="H594" s="396" t="e">
        <f t="shared" si="8"/>
        <v>#DIV/0!</v>
      </c>
    </row>
    <row r="595" spans="1:8" ht="15" customHeight="1">
      <c r="A595" s="630"/>
      <c r="B595" s="627"/>
      <c r="C595" s="393">
        <v>453</v>
      </c>
      <c r="D595" s="393">
        <v>0</v>
      </c>
      <c r="E595" s="401" t="s">
        <v>328</v>
      </c>
      <c r="F595" s="395"/>
      <c r="G595" s="395"/>
      <c r="H595" s="396" t="e">
        <f t="shared" si="8"/>
        <v>#DIV/0!</v>
      </c>
    </row>
    <row r="596" spans="1:8" ht="15" customHeight="1">
      <c r="A596" s="630"/>
      <c r="B596" s="627"/>
      <c r="C596" s="393">
        <v>605</v>
      </c>
      <c r="D596" s="393">
        <v>0</v>
      </c>
      <c r="E596" s="402" t="s">
        <v>349</v>
      </c>
      <c r="F596" s="395"/>
      <c r="G596" s="395"/>
      <c r="H596" s="396" t="e">
        <f t="shared" si="8"/>
        <v>#DIV/0!</v>
      </c>
    </row>
    <row r="597" spans="1:8" ht="15" customHeight="1">
      <c r="A597" s="630"/>
      <c r="B597" s="380">
        <v>85415</v>
      </c>
      <c r="C597" s="393"/>
      <c r="D597" s="393"/>
      <c r="E597" s="183" t="s">
        <v>97</v>
      </c>
      <c r="F597" s="395">
        <f>F598</f>
        <v>0</v>
      </c>
      <c r="G597" s="395">
        <f>G598</f>
        <v>0</v>
      </c>
      <c r="H597" s="396" t="e">
        <f t="shared" si="8"/>
        <v>#DIV/0!</v>
      </c>
    </row>
    <row r="598" spans="1:8" ht="15" customHeight="1">
      <c r="A598" s="630"/>
      <c r="B598" s="380"/>
      <c r="C598" s="393">
        <v>324</v>
      </c>
      <c r="D598" s="393">
        <v>0</v>
      </c>
      <c r="E598" s="410" t="s">
        <v>379</v>
      </c>
      <c r="F598" s="395"/>
      <c r="G598" s="395"/>
      <c r="H598" s="396" t="e">
        <f t="shared" si="8"/>
        <v>#DIV/0!</v>
      </c>
    </row>
    <row r="599" spans="1:8" ht="15" customHeight="1">
      <c r="A599" s="630"/>
      <c r="B599" s="380">
        <v>85419</v>
      </c>
      <c r="C599" s="393"/>
      <c r="D599" s="393"/>
      <c r="E599" s="183" t="s">
        <v>150</v>
      </c>
      <c r="F599" s="395">
        <f>F600</f>
        <v>0</v>
      </c>
      <c r="G599" s="395">
        <f>G600</f>
        <v>0</v>
      </c>
      <c r="H599" s="396" t="e">
        <f t="shared" si="8"/>
        <v>#DIV/0!</v>
      </c>
    </row>
    <row r="600" spans="1:8" ht="15" customHeight="1">
      <c r="A600" s="630"/>
      <c r="B600" s="380"/>
      <c r="C600" s="393">
        <v>254</v>
      </c>
      <c r="D600" s="393">
        <v>0</v>
      </c>
      <c r="E600" s="402" t="s">
        <v>377</v>
      </c>
      <c r="F600" s="395"/>
      <c r="G600" s="395"/>
      <c r="H600" s="396" t="e">
        <f t="shared" si="8"/>
        <v>#DIV/0!</v>
      </c>
    </row>
    <row r="601" spans="1:8" ht="15" customHeight="1">
      <c r="A601" s="630"/>
      <c r="B601" s="380">
        <v>85420</v>
      </c>
      <c r="C601" s="393"/>
      <c r="D601" s="393"/>
      <c r="E601" s="183" t="s">
        <v>119</v>
      </c>
      <c r="F601" s="395">
        <f>SUM(F602:F620)</f>
        <v>0</v>
      </c>
      <c r="G601" s="395">
        <f>SUM(G602:G620)</f>
        <v>0</v>
      </c>
      <c r="H601" s="396" t="e">
        <f t="shared" ref="H601:H655" si="9">G601/F601*100</f>
        <v>#DIV/0!</v>
      </c>
    </row>
    <row r="602" spans="1:8" ht="15" customHeight="1">
      <c r="A602" s="630"/>
      <c r="B602" s="627"/>
      <c r="C602" s="393">
        <v>302</v>
      </c>
      <c r="D602" s="393">
        <v>0</v>
      </c>
      <c r="E602" s="410" t="s">
        <v>330</v>
      </c>
      <c r="F602" s="395"/>
      <c r="G602" s="395"/>
      <c r="H602" s="396" t="e">
        <f t="shared" si="9"/>
        <v>#DIV/0!</v>
      </c>
    </row>
    <row r="603" spans="1:8" ht="15" customHeight="1">
      <c r="A603" s="630"/>
      <c r="B603" s="627"/>
      <c r="C603" s="393">
        <v>401</v>
      </c>
      <c r="D603" s="393">
        <v>0</v>
      </c>
      <c r="E603" s="410" t="s">
        <v>331</v>
      </c>
      <c r="F603" s="395"/>
      <c r="G603" s="395"/>
      <c r="H603" s="396" t="e">
        <f t="shared" si="9"/>
        <v>#DIV/0!</v>
      </c>
    </row>
    <row r="604" spans="1:8" ht="15" customHeight="1">
      <c r="A604" s="630"/>
      <c r="B604" s="627"/>
      <c r="C604" s="393">
        <v>404</v>
      </c>
      <c r="D604" s="393">
        <v>0</v>
      </c>
      <c r="E604" s="410" t="s">
        <v>332</v>
      </c>
      <c r="F604" s="395"/>
      <c r="G604" s="395"/>
      <c r="H604" s="396" t="e">
        <f t="shared" si="9"/>
        <v>#DIV/0!</v>
      </c>
    </row>
    <row r="605" spans="1:8" ht="15" customHeight="1">
      <c r="A605" s="630"/>
      <c r="B605" s="627"/>
      <c r="C605" s="393">
        <v>411</v>
      </c>
      <c r="D605" s="393">
        <v>0</v>
      </c>
      <c r="E605" s="410" t="s">
        <v>333</v>
      </c>
      <c r="F605" s="395"/>
      <c r="G605" s="395"/>
      <c r="H605" s="396" t="e">
        <f t="shared" si="9"/>
        <v>#DIV/0!</v>
      </c>
    </row>
    <row r="606" spans="1:8" ht="15" customHeight="1">
      <c r="A606" s="630"/>
      <c r="B606" s="627"/>
      <c r="C606" s="393">
        <v>412</v>
      </c>
      <c r="D606" s="393">
        <v>0</v>
      </c>
      <c r="E606" s="410" t="s">
        <v>334</v>
      </c>
      <c r="F606" s="395"/>
      <c r="G606" s="395"/>
      <c r="H606" s="396" t="e">
        <f t="shared" si="9"/>
        <v>#DIV/0!</v>
      </c>
    </row>
    <row r="607" spans="1:8" ht="15" customHeight="1">
      <c r="A607" s="630"/>
      <c r="B607" s="627"/>
      <c r="C607" s="393">
        <v>417</v>
      </c>
      <c r="D607" s="393">
        <v>0</v>
      </c>
      <c r="E607" s="401" t="s">
        <v>335</v>
      </c>
      <c r="F607" s="395"/>
      <c r="G607" s="395"/>
      <c r="H607" s="396" t="e">
        <f t="shared" si="9"/>
        <v>#DIV/0!</v>
      </c>
    </row>
    <row r="608" spans="1:8" ht="15" customHeight="1">
      <c r="A608" s="630"/>
      <c r="B608" s="627"/>
      <c r="C608" s="393">
        <v>421</v>
      </c>
      <c r="D608" s="393">
        <v>0</v>
      </c>
      <c r="E608" s="410" t="s">
        <v>327</v>
      </c>
      <c r="F608" s="395"/>
      <c r="G608" s="395"/>
      <c r="H608" s="396" t="e">
        <f t="shared" si="9"/>
        <v>#DIV/0!</v>
      </c>
    </row>
    <row r="609" spans="1:8" ht="15" customHeight="1">
      <c r="A609" s="630"/>
      <c r="B609" s="627"/>
      <c r="C609" s="393">
        <v>422</v>
      </c>
      <c r="D609" s="393">
        <v>0</v>
      </c>
      <c r="E609" s="410" t="s">
        <v>380</v>
      </c>
      <c r="F609" s="395"/>
      <c r="G609" s="395"/>
      <c r="H609" s="396" t="e">
        <f t="shared" si="9"/>
        <v>#DIV/0!</v>
      </c>
    </row>
    <row r="610" spans="1:8" ht="15" customHeight="1">
      <c r="A610" s="630"/>
      <c r="B610" s="627"/>
      <c r="C610" s="393">
        <v>426</v>
      </c>
      <c r="D610" s="393">
        <v>0</v>
      </c>
      <c r="E610" s="410" t="s">
        <v>336</v>
      </c>
      <c r="F610" s="395"/>
      <c r="G610" s="395"/>
      <c r="H610" s="396" t="e">
        <f t="shared" si="9"/>
        <v>#DIV/0!</v>
      </c>
    </row>
    <row r="611" spans="1:8" ht="15" customHeight="1">
      <c r="A611" s="630"/>
      <c r="B611" s="627"/>
      <c r="C611" s="393">
        <v>427</v>
      </c>
      <c r="D611" s="393">
        <v>0</v>
      </c>
      <c r="E611" s="410" t="s">
        <v>337</v>
      </c>
      <c r="F611" s="395"/>
      <c r="G611" s="395"/>
      <c r="H611" s="396" t="e">
        <f t="shared" si="9"/>
        <v>#DIV/0!</v>
      </c>
    </row>
    <row r="612" spans="1:8" ht="15" customHeight="1">
      <c r="A612" s="630"/>
      <c r="B612" s="627"/>
      <c r="C612" s="393">
        <v>428</v>
      </c>
      <c r="D612" s="393">
        <v>0</v>
      </c>
      <c r="E612" s="410" t="s">
        <v>338</v>
      </c>
      <c r="F612" s="395"/>
      <c r="G612" s="395"/>
      <c r="H612" s="396" t="e">
        <f t="shared" si="9"/>
        <v>#DIV/0!</v>
      </c>
    </row>
    <row r="613" spans="1:8" ht="15" customHeight="1">
      <c r="A613" s="630"/>
      <c r="B613" s="627"/>
      <c r="C613" s="393">
        <v>430</v>
      </c>
      <c r="D613" s="393">
        <v>0</v>
      </c>
      <c r="E613" s="410" t="s">
        <v>324</v>
      </c>
      <c r="F613" s="395"/>
      <c r="G613" s="395"/>
      <c r="H613" s="396" t="e">
        <f t="shared" si="9"/>
        <v>#DIV/0!</v>
      </c>
    </row>
    <row r="614" spans="1:8" ht="15" customHeight="1">
      <c r="A614" s="630"/>
      <c r="B614" s="627"/>
      <c r="C614" s="393">
        <v>435</v>
      </c>
      <c r="D614" s="393">
        <v>0</v>
      </c>
      <c r="E614" s="401" t="s">
        <v>339</v>
      </c>
      <c r="F614" s="395"/>
      <c r="G614" s="395"/>
      <c r="H614" s="396" t="e">
        <f t="shared" si="9"/>
        <v>#DIV/0!</v>
      </c>
    </row>
    <row r="615" spans="1:8" ht="15" customHeight="1">
      <c r="A615" s="630"/>
      <c r="B615" s="627"/>
      <c r="C615" s="393">
        <v>436</v>
      </c>
      <c r="D615" s="393">
        <v>0</v>
      </c>
      <c r="E615" s="402" t="s">
        <v>340</v>
      </c>
      <c r="F615" s="395"/>
      <c r="G615" s="395"/>
      <c r="H615" s="396" t="e">
        <f t="shared" si="9"/>
        <v>#DIV/0!</v>
      </c>
    </row>
    <row r="616" spans="1:8" ht="15" customHeight="1">
      <c r="A616" s="630"/>
      <c r="B616" s="627"/>
      <c r="C616" s="393">
        <v>437</v>
      </c>
      <c r="D616" s="393">
        <v>0</v>
      </c>
      <c r="E616" s="402" t="s">
        <v>341</v>
      </c>
      <c r="F616" s="395"/>
      <c r="G616" s="395"/>
      <c r="H616" s="396" t="e">
        <f t="shared" si="9"/>
        <v>#DIV/0!</v>
      </c>
    </row>
    <row r="617" spans="1:8" ht="15" customHeight="1">
      <c r="A617" s="630"/>
      <c r="B617" s="627"/>
      <c r="C617" s="393">
        <v>441</v>
      </c>
      <c r="D617" s="393">
        <v>0</v>
      </c>
      <c r="E617" s="410" t="s">
        <v>342</v>
      </c>
      <c r="F617" s="395"/>
      <c r="G617" s="395"/>
      <c r="H617" s="396" t="e">
        <f t="shared" si="9"/>
        <v>#DIV/0!</v>
      </c>
    </row>
    <row r="618" spans="1:8" ht="15" customHeight="1">
      <c r="A618" s="630"/>
      <c r="B618" s="627"/>
      <c r="C618" s="393">
        <v>443</v>
      </c>
      <c r="D618" s="393">
        <v>0</v>
      </c>
      <c r="E618" s="401" t="s">
        <v>356</v>
      </c>
      <c r="F618" s="395"/>
      <c r="G618" s="395"/>
      <c r="H618" s="396" t="e">
        <f t="shared" si="9"/>
        <v>#DIV/0!</v>
      </c>
    </row>
    <row r="619" spans="1:8" ht="15" customHeight="1">
      <c r="A619" s="630"/>
      <c r="B619" s="627"/>
      <c r="C619" s="393">
        <v>444</v>
      </c>
      <c r="D619" s="393">
        <v>0</v>
      </c>
      <c r="E619" s="410" t="s">
        <v>343</v>
      </c>
      <c r="F619" s="395"/>
      <c r="G619" s="395"/>
      <c r="H619" s="396" t="e">
        <f t="shared" si="9"/>
        <v>#DIV/0!</v>
      </c>
    </row>
    <row r="620" spans="1:8" ht="15" customHeight="1">
      <c r="A620" s="630"/>
      <c r="B620" s="627"/>
      <c r="C620" s="393">
        <v>470</v>
      </c>
      <c r="D620" s="393">
        <v>0</v>
      </c>
      <c r="E620" s="404" t="s">
        <v>348</v>
      </c>
      <c r="F620" s="395"/>
      <c r="G620" s="395"/>
      <c r="H620" s="396" t="e">
        <f t="shared" si="9"/>
        <v>#DIV/0!</v>
      </c>
    </row>
    <row r="621" spans="1:8" ht="15" customHeight="1">
      <c r="A621" s="630"/>
      <c r="B621" s="380">
        <v>85446</v>
      </c>
      <c r="C621" s="393"/>
      <c r="D621" s="393"/>
      <c r="E621" s="183" t="s">
        <v>84</v>
      </c>
      <c r="F621" s="395">
        <f>SUM(F622:F625)</f>
        <v>0</v>
      </c>
      <c r="G621" s="395">
        <f>SUM(G622:G625)</f>
        <v>0</v>
      </c>
      <c r="H621" s="396" t="e">
        <f t="shared" si="9"/>
        <v>#DIV/0!</v>
      </c>
    </row>
    <row r="622" spans="1:8" ht="15" customHeight="1">
      <c r="A622" s="630"/>
      <c r="B622" s="629"/>
      <c r="C622" s="393">
        <v>421</v>
      </c>
      <c r="D622" s="393">
        <v>0</v>
      </c>
      <c r="E622" s="410" t="s">
        <v>327</v>
      </c>
      <c r="F622" s="395"/>
      <c r="G622" s="395"/>
      <c r="H622" s="396"/>
    </row>
    <row r="623" spans="1:8" ht="15" customHeight="1">
      <c r="A623" s="630"/>
      <c r="B623" s="630"/>
      <c r="C623" s="393">
        <v>430</v>
      </c>
      <c r="D623" s="393">
        <v>0</v>
      </c>
      <c r="E623" s="410" t="s">
        <v>324</v>
      </c>
      <c r="F623" s="395"/>
      <c r="G623" s="395"/>
      <c r="H623" s="396" t="e">
        <f t="shared" si="9"/>
        <v>#DIV/0!</v>
      </c>
    </row>
    <row r="624" spans="1:8" ht="15" customHeight="1">
      <c r="A624" s="630"/>
      <c r="B624" s="630"/>
      <c r="C624" s="393">
        <v>441</v>
      </c>
      <c r="D624" s="393">
        <v>0</v>
      </c>
      <c r="E624" s="410" t="s">
        <v>342</v>
      </c>
      <c r="F624" s="395"/>
      <c r="G624" s="395"/>
      <c r="H624" s="396" t="e">
        <f t="shared" si="9"/>
        <v>#DIV/0!</v>
      </c>
    </row>
    <row r="625" spans="1:8" ht="15" customHeight="1">
      <c r="A625" s="630"/>
      <c r="B625" s="631"/>
      <c r="C625" s="393">
        <v>470</v>
      </c>
      <c r="D625" s="393">
        <v>0</v>
      </c>
      <c r="E625" s="404" t="s">
        <v>348</v>
      </c>
      <c r="F625" s="395"/>
      <c r="G625" s="395"/>
      <c r="H625" s="396" t="e">
        <f t="shared" si="9"/>
        <v>#DIV/0!</v>
      </c>
    </row>
    <row r="626" spans="1:8" ht="15" customHeight="1">
      <c r="A626" s="630"/>
      <c r="B626" s="414">
        <v>85495</v>
      </c>
      <c r="C626" s="393"/>
      <c r="D626" s="393"/>
      <c r="E626" s="404" t="s">
        <v>74</v>
      </c>
      <c r="F626" s="395">
        <f>F627+F628</f>
        <v>0</v>
      </c>
      <c r="G626" s="395">
        <f>G627+G628</f>
        <v>0</v>
      </c>
      <c r="H626" s="396"/>
    </row>
    <row r="627" spans="1:8" ht="15" customHeight="1">
      <c r="A627" s="630"/>
      <c r="B627" s="629"/>
      <c r="C627" s="393">
        <v>401</v>
      </c>
      <c r="D627" s="393">
        <v>0</v>
      </c>
      <c r="E627" s="410" t="s">
        <v>331</v>
      </c>
      <c r="F627" s="395"/>
      <c r="G627" s="395"/>
      <c r="H627" s="396"/>
    </row>
    <row r="628" spans="1:8" ht="15" customHeight="1">
      <c r="A628" s="631"/>
      <c r="B628" s="631"/>
      <c r="C628" s="393">
        <v>481</v>
      </c>
      <c r="D628" s="393">
        <v>0</v>
      </c>
      <c r="E628" s="404" t="s">
        <v>364</v>
      </c>
      <c r="F628" s="395"/>
      <c r="G628" s="395"/>
      <c r="H628" s="396"/>
    </row>
    <row r="629" spans="1:8" ht="15" customHeight="1">
      <c r="A629" s="387">
        <v>921</v>
      </c>
      <c r="B629" s="387"/>
      <c r="C629" s="388"/>
      <c r="D629" s="388"/>
      <c r="E629" s="407" t="s">
        <v>117</v>
      </c>
      <c r="F629" s="390">
        <f>F630+F634+F636</f>
        <v>0</v>
      </c>
      <c r="G629" s="390">
        <f>G630+G634+G636</f>
        <v>0</v>
      </c>
      <c r="H629" s="391" t="e">
        <f t="shared" si="9"/>
        <v>#DIV/0!</v>
      </c>
    </row>
    <row r="630" spans="1:8" ht="15" customHeight="1">
      <c r="A630" s="627"/>
      <c r="B630" s="380">
        <v>92105</v>
      </c>
      <c r="C630" s="393"/>
      <c r="D630" s="393"/>
      <c r="E630" s="183" t="s">
        <v>118</v>
      </c>
      <c r="F630" s="395">
        <f>SUM(F631:F633)</f>
        <v>0</v>
      </c>
      <c r="G630" s="395">
        <f>SUM(G631:G633)</f>
        <v>0</v>
      </c>
      <c r="H630" s="396" t="e">
        <f t="shared" si="9"/>
        <v>#DIV/0!</v>
      </c>
    </row>
    <row r="631" spans="1:8" ht="15" customHeight="1">
      <c r="A631" s="627"/>
      <c r="B631" s="627"/>
      <c r="C631" s="393">
        <v>417</v>
      </c>
      <c r="D631" s="393">
        <v>0</v>
      </c>
      <c r="E631" s="401" t="s">
        <v>335</v>
      </c>
      <c r="F631" s="395"/>
      <c r="G631" s="395"/>
      <c r="H631" s="396" t="e">
        <f t="shared" si="9"/>
        <v>#DIV/0!</v>
      </c>
    </row>
    <row r="632" spans="1:8" ht="15" customHeight="1">
      <c r="A632" s="627"/>
      <c r="B632" s="627"/>
      <c r="C632" s="393">
        <v>421</v>
      </c>
      <c r="D632" s="393">
        <v>0</v>
      </c>
      <c r="E632" s="410" t="s">
        <v>327</v>
      </c>
      <c r="F632" s="395"/>
      <c r="G632" s="395"/>
      <c r="H632" s="396" t="e">
        <f t="shared" si="9"/>
        <v>#DIV/0!</v>
      </c>
    </row>
    <row r="633" spans="1:8" ht="15" customHeight="1">
      <c r="A633" s="627"/>
      <c r="B633" s="627"/>
      <c r="C633" s="393">
        <v>430</v>
      </c>
      <c r="D633" s="393">
        <v>0</v>
      </c>
      <c r="E633" s="410" t="s">
        <v>324</v>
      </c>
      <c r="F633" s="395"/>
      <c r="G633" s="395"/>
      <c r="H633" s="396" t="e">
        <f t="shared" si="9"/>
        <v>#DIV/0!</v>
      </c>
    </row>
    <row r="634" spans="1:8" ht="15" customHeight="1">
      <c r="A634" s="627"/>
      <c r="B634" s="380">
        <v>92116</v>
      </c>
      <c r="C634" s="393"/>
      <c r="D634" s="393"/>
      <c r="E634" s="381" t="s">
        <v>394</v>
      </c>
      <c r="F634" s="395">
        <f>F635</f>
        <v>0</v>
      </c>
      <c r="G634" s="395">
        <f>G635</f>
        <v>0</v>
      </c>
      <c r="H634" s="396" t="e">
        <f t="shared" si="9"/>
        <v>#DIV/0!</v>
      </c>
    </row>
    <row r="635" spans="1:8" ht="15" customHeight="1">
      <c r="A635" s="627"/>
      <c r="B635" s="380"/>
      <c r="C635" s="393">
        <v>231</v>
      </c>
      <c r="D635" s="393">
        <v>0</v>
      </c>
      <c r="E635" s="416" t="s">
        <v>392</v>
      </c>
      <c r="F635" s="395"/>
      <c r="G635" s="395"/>
      <c r="H635" s="396" t="e">
        <f t="shared" si="9"/>
        <v>#DIV/0!</v>
      </c>
    </row>
    <row r="636" spans="1:8" ht="15" customHeight="1">
      <c r="A636" s="627"/>
      <c r="B636" s="380">
        <v>92120</v>
      </c>
      <c r="C636" s="393"/>
      <c r="D636" s="393"/>
      <c r="E636" s="381" t="s">
        <v>289</v>
      </c>
      <c r="F636" s="395">
        <f>F637</f>
        <v>0</v>
      </c>
      <c r="G636" s="395">
        <f>G637</f>
        <v>0</v>
      </c>
      <c r="H636" s="396" t="e">
        <f t="shared" si="9"/>
        <v>#DIV/0!</v>
      </c>
    </row>
    <row r="637" spans="1:8" ht="15" customHeight="1">
      <c r="A637" s="627"/>
      <c r="B637" s="380"/>
      <c r="C637" s="393">
        <v>272</v>
      </c>
      <c r="D637" s="393">
        <v>0</v>
      </c>
      <c r="E637" s="404" t="s">
        <v>395</v>
      </c>
      <c r="F637" s="395"/>
      <c r="G637" s="395"/>
      <c r="H637" s="396" t="e">
        <f t="shared" si="9"/>
        <v>#DIV/0!</v>
      </c>
    </row>
    <row r="638" spans="1:8" ht="15" customHeight="1">
      <c r="A638" s="387">
        <v>926</v>
      </c>
      <c r="B638" s="387"/>
      <c r="C638" s="388"/>
      <c r="D638" s="388"/>
      <c r="E638" s="407" t="s">
        <v>396</v>
      </c>
      <c r="F638" s="390">
        <f>F639+F649+F653</f>
        <v>0</v>
      </c>
      <c r="G638" s="390">
        <f>G639+G649+G653</f>
        <v>0</v>
      </c>
      <c r="H638" s="391" t="e">
        <f t="shared" si="9"/>
        <v>#DIV/0!</v>
      </c>
    </row>
    <row r="639" spans="1:8" ht="15" customHeight="1">
      <c r="A639" s="627"/>
      <c r="B639" s="380">
        <v>92601</v>
      </c>
      <c r="C639" s="393"/>
      <c r="D639" s="393"/>
      <c r="E639" s="183" t="s">
        <v>151</v>
      </c>
      <c r="F639" s="395">
        <f>SUM(F640:F648)</f>
        <v>0</v>
      </c>
      <c r="G639" s="395">
        <f>SUM(G640:G648)</f>
        <v>0</v>
      </c>
      <c r="H639" s="396" t="e">
        <f t="shared" si="9"/>
        <v>#DIV/0!</v>
      </c>
    </row>
    <row r="640" spans="1:8" ht="15" customHeight="1">
      <c r="A640" s="627"/>
      <c r="B640" s="629"/>
      <c r="C640" s="393">
        <v>291</v>
      </c>
      <c r="D640" s="393">
        <v>0</v>
      </c>
      <c r="E640" s="183" t="s">
        <v>397</v>
      </c>
      <c r="F640" s="395"/>
      <c r="G640" s="395"/>
      <c r="H640" s="396"/>
    </row>
    <row r="641" spans="1:8" ht="15" customHeight="1">
      <c r="A641" s="627"/>
      <c r="B641" s="630"/>
      <c r="C641" s="393">
        <v>401</v>
      </c>
      <c r="D641" s="393">
        <v>0</v>
      </c>
      <c r="E641" s="410" t="s">
        <v>331</v>
      </c>
      <c r="F641" s="395"/>
      <c r="G641" s="395"/>
      <c r="H641" s="396" t="e">
        <f t="shared" si="9"/>
        <v>#DIV/0!</v>
      </c>
    </row>
    <row r="642" spans="1:8" ht="15" customHeight="1">
      <c r="A642" s="627"/>
      <c r="B642" s="630"/>
      <c r="C642" s="393">
        <v>404</v>
      </c>
      <c r="D642" s="393">
        <v>0</v>
      </c>
      <c r="E642" s="410" t="s">
        <v>332</v>
      </c>
      <c r="F642" s="395"/>
      <c r="G642" s="395"/>
      <c r="H642" s="396" t="e">
        <f t="shared" si="9"/>
        <v>#DIV/0!</v>
      </c>
    </row>
    <row r="643" spans="1:8" ht="15" customHeight="1">
      <c r="A643" s="627"/>
      <c r="B643" s="630"/>
      <c r="C643" s="393">
        <v>411</v>
      </c>
      <c r="D643" s="393">
        <v>0</v>
      </c>
      <c r="E643" s="410" t="s">
        <v>333</v>
      </c>
      <c r="F643" s="395"/>
      <c r="G643" s="395"/>
      <c r="H643" s="396" t="e">
        <f t="shared" si="9"/>
        <v>#DIV/0!</v>
      </c>
    </row>
    <row r="644" spans="1:8" ht="15" customHeight="1">
      <c r="A644" s="627"/>
      <c r="B644" s="630"/>
      <c r="C644" s="393">
        <v>412</v>
      </c>
      <c r="D644" s="393">
        <v>0</v>
      </c>
      <c r="E644" s="410" t="s">
        <v>334</v>
      </c>
      <c r="F644" s="395"/>
      <c r="G644" s="395"/>
      <c r="H644" s="396" t="e">
        <f t="shared" si="9"/>
        <v>#DIV/0!</v>
      </c>
    </row>
    <row r="645" spans="1:8" ht="15" customHeight="1">
      <c r="A645" s="627"/>
      <c r="B645" s="630"/>
      <c r="C645" s="393">
        <v>417</v>
      </c>
      <c r="D645" s="393">
        <v>0</v>
      </c>
      <c r="E645" s="401" t="s">
        <v>335</v>
      </c>
      <c r="F645" s="395"/>
      <c r="G645" s="395"/>
      <c r="H645" s="396" t="e">
        <f t="shared" si="9"/>
        <v>#DIV/0!</v>
      </c>
    </row>
    <row r="646" spans="1:8" ht="15" customHeight="1">
      <c r="A646" s="627"/>
      <c r="B646" s="630"/>
      <c r="C646" s="393">
        <v>427</v>
      </c>
      <c r="D646" s="393">
        <v>0</v>
      </c>
      <c r="E646" s="410" t="s">
        <v>337</v>
      </c>
      <c r="F646" s="395"/>
      <c r="G646" s="395"/>
      <c r="H646" s="396" t="e">
        <f t="shared" si="9"/>
        <v>#DIV/0!</v>
      </c>
    </row>
    <row r="647" spans="1:8" ht="15" customHeight="1">
      <c r="A647" s="627"/>
      <c r="B647" s="630"/>
      <c r="C647" s="393">
        <v>444</v>
      </c>
      <c r="D647" s="393">
        <v>0</v>
      </c>
      <c r="E647" s="410" t="s">
        <v>343</v>
      </c>
      <c r="F647" s="395"/>
      <c r="G647" s="395"/>
      <c r="H647" s="396" t="e">
        <f t="shared" si="9"/>
        <v>#DIV/0!</v>
      </c>
    </row>
    <row r="648" spans="1:8" ht="15" customHeight="1">
      <c r="A648" s="627"/>
      <c r="B648" s="631"/>
      <c r="C648" s="393">
        <v>630</v>
      </c>
      <c r="D648" s="393">
        <v>0</v>
      </c>
      <c r="E648" s="404" t="s">
        <v>353</v>
      </c>
      <c r="F648" s="395"/>
      <c r="G648" s="395"/>
      <c r="H648" s="396" t="e">
        <f t="shared" si="9"/>
        <v>#DIV/0!</v>
      </c>
    </row>
    <row r="649" spans="1:8" ht="15" customHeight="1">
      <c r="A649" s="627"/>
      <c r="B649" s="380">
        <v>92605</v>
      </c>
      <c r="C649" s="393"/>
      <c r="D649" s="393"/>
      <c r="E649" s="183" t="s">
        <v>99</v>
      </c>
      <c r="F649" s="395">
        <f>SUM(F650:F652)</f>
        <v>0</v>
      </c>
      <c r="G649" s="395">
        <f>SUM(G650:G652)</f>
        <v>0</v>
      </c>
      <c r="H649" s="396" t="e">
        <f t="shared" si="9"/>
        <v>#DIV/0!</v>
      </c>
    </row>
    <row r="650" spans="1:8" ht="15" customHeight="1">
      <c r="A650" s="627"/>
      <c r="B650" s="627"/>
      <c r="C650" s="393">
        <v>282</v>
      </c>
      <c r="D650" s="393">
        <v>0</v>
      </c>
      <c r="E650" s="404" t="s">
        <v>390</v>
      </c>
      <c r="F650" s="395"/>
      <c r="G650" s="395"/>
      <c r="H650" s="396" t="e">
        <f t="shared" si="9"/>
        <v>#DIV/0!</v>
      </c>
    </row>
    <row r="651" spans="1:8" ht="15" customHeight="1">
      <c r="A651" s="627"/>
      <c r="B651" s="627"/>
      <c r="C651" s="393">
        <v>421</v>
      </c>
      <c r="D651" s="393">
        <v>0</v>
      </c>
      <c r="E651" s="410" t="s">
        <v>327</v>
      </c>
      <c r="F651" s="395"/>
      <c r="G651" s="395"/>
      <c r="H651" s="396" t="e">
        <f t="shared" si="9"/>
        <v>#DIV/0!</v>
      </c>
    </row>
    <row r="652" spans="1:8" ht="15" customHeight="1">
      <c r="A652" s="627"/>
      <c r="B652" s="627"/>
      <c r="C652" s="393">
        <v>430</v>
      </c>
      <c r="D652" s="393">
        <v>0</v>
      </c>
      <c r="E652" s="410" t="s">
        <v>324</v>
      </c>
      <c r="F652" s="395"/>
      <c r="G652" s="395"/>
      <c r="H652" s="396" t="e">
        <f t="shared" si="9"/>
        <v>#DIV/0!</v>
      </c>
    </row>
    <row r="653" spans="1:8" ht="15" customHeight="1">
      <c r="A653" s="627"/>
      <c r="B653" s="380">
        <v>92695</v>
      </c>
      <c r="C653" s="393"/>
      <c r="D653" s="393"/>
      <c r="E653" s="381" t="s">
        <v>74</v>
      </c>
      <c r="F653" s="395">
        <f>SUM(F654:F654)</f>
        <v>0</v>
      </c>
      <c r="G653" s="395">
        <f>SUM(G654:G654)</f>
        <v>0</v>
      </c>
      <c r="H653" s="396" t="e">
        <f t="shared" si="9"/>
        <v>#DIV/0!</v>
      </c>
    </row>
    <row r="654" spans="1:8" ht="15" customHeight="1">
      <c r="A654" s="627"/>
      <c r="B654" s="380"/>
      <c r="C654" s="393">
        <v>271</v>
      </c>
      <c r="D654" s="393">
        <v>0</v>
      </c>
      <c r="E654" s="404" t="s">
        <v>398</v>
      </c>
      <c r="F654" s="395"/>
      <c r="G654" s="395"/>
      <c r="H654" s="396" t="e">
        <f t="shared" si="9"/>
        <v>#DIV/0!</v>
      </c>
    </row>
    <row r="655" spans="1:8">
      <c r="A655" s="628" t="s">
        <v>123</v>
      </c>
      <c r="B655" s="628"/>
      <c r="C655" s="628"/>
      <c r="D655" s="628"/>
      <c r="E655" s="628"/>
      <c r="F655" s="390">
        <f>F10+F15+F22+F52+F65+F88+F157+F196+F203+F342+F359+F485+F544+F629+F638+F200</f>
        <v>0</v>
      </c>
      <c r="G655" s="390">
        <f>G10+G15+G22+G52+G65+G88+G157+G196+G203+G342+G359+G485+G544+G629+G638+G200</f>
        <v>0</v>
      </c>
      <c r="H655" s="391" t="e">
        <f t="shared" si="9"/>
        <v>#DIV/0!</v>
      </c>
    </row>
  </sheetData>
  <mergeCells count="70">
    <mergeCell ref="A53:A64"/>
    <mergeCell ref="B54:B64"/>
    <mergeCell ref="G3:H3"/>
    <mergeCell ref="A4:H4"/>
    <mergeCell ref="A5:H5"/>
    <mergeCell ref="A6:H6"/>
    <mergeCell ref="C8:D8"/>
    <mergeCell ref="A11:A14"/>
    <mergeCell ref="A16:A21"/>
    <mergeCell ref="B19:B21"/>
    <mergeCell ref="A23:A51"/>
    <mergeCell ref="B24:B48"/>
    <mergeCell ref="B50:B51"/>
    <mergeCell ref="A158:A195"/>
    <mergeCell ref="B163:B190"/>
    <mergeCell ref="B192:B195"/>
    <mergeCell ref="A197:A199"/>
    <mergeCell ref="B198:B199"/>
    <mergeCell ref="A66:A87"/>
    <mergeCell ref="B69:B70"/>
    <mergeCell ref="B72:B87"/>
    <mergeCell ref="A89:A156"/>
    <mergeCell ref="B90:B92"/>
    <mergeCell ref="B94:B96"/>
    <mergeCell ref="B98:B125"/>
    <mergeCell ref="B127:B132"/>
    <mergeCell ref="B134:B151"/>
    <mergeCell ref="B153:B156"/>
    <mergeCell ref="B440:B459"/>
    <mergeCell ref="B461:B476"/>
    <mergeCell ref="B478:B480"/>
    <mergeCell ref="B482:B484"/>
    <mergeCell ref="A201:A202"/>
    <mergeCell ref="B361:B386"/>
    <mergeCell ref="B388:B389"/>
    <mergeCell ref="B391:B410"/>
    <mergeCell ref="B412:B417"/>
    <mergeCell ref="B419:B438"/>
    <mergeCell ref="B650:B652"/>
    <mergeCell ref="A204:A341"/>
    <mergeCell ref="B205:B224"/>
    <mergeCell ref="B226:B238"/>
    <mergeCell ref="B240:B265"/>
    <mergeCell ref="B269:B298"/>
    <mergeCell ref="B300:B313"/>
    <mergeCell ref="B315:B320"/>
    <mergeCell ref="B322:B327"/>
    <mergeCell ref="B329:B337"/>
    <mergeCell ref="B339:B341"/>
    <mergeCell ref="A343:A358"/>
    <mergeCell ref="B344:B348"/>
    <mergeCell ref="B350:B351"/>
    <mergeCell ref="B355:B356"/>
    <mergeCell ref="A360:A484"/>
    <mergeCell ref="A486:A543"/>
    <mergeCell ref="B489:B496"/>
    <mergeCell ref="B498:B513"/>
    <mergeCell ref="B515:B543"/>
    <mergeCell ref="A655:E655"/>
    <mergeCell ref="A545:A628"/>
    <mergeCell ref="B546:B564"/>
    <mergeCell ref="B566:B580"/>
    <mergeCell ref="B582:B596"/>
    <mergeCell ref="B602:B620"/>
    <mergeCell ref="B622:B625"/>
    <mergeCell ref="B627:B628"/>
    <mergeCell ref="A630:A637"/>
    <mergeCell ref="B631:B633"/>
    <mergeCell ref="A639:A654"/>
    <mergeCell ref="B640:B64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3:H19"/>
  <sheetViews>
    <sheetView workbookViewId="0">
      <selection activeCell="D28" sqref="D28"/>
    </sheetView>
  </sheetViews>
  <sheetFormatPr defaultRowHeight="12.75"/>
  <cols>
    <col min="1" max="1" width="4.42578125" customWidth="1"/>
    <col min="2" max="2" width="6.42578125" customWidth="1"/>
    <col min="3" max="3" width="6.28515625" customWidth="1"/>
    <col min="4" max="4" width="31.42578125" customWidth="1"/>
    <col min="5" max="5" width="14.42578125" customWidth="1"/>
    <col min="6" max="6" width="14.7109375" customWidth="1"/>
    <col min="7" max="7" width="6.140625" customWidth="1"/>
  </cols>
  <sheetData>
    <row r="3" spans="1:8" ht="15">
      <c r="A3" s="557" t="s">
        <v>0</v>
      </c>
      <c r="B3" s="557" t="s">
        <v>62</v>
      </c>
      <c r="C3" s="643" t="s">
        <v>63</v>
      </c>
      <c r="D3" s="643" t="s">
        <v>1</v>
      </c>
      <c r="E3" s="643" t="s">
        <v>135</v>
      </c>
      <c r="F3" s="643" t="s">
        <v>127</v>
      </c>
      <c r="G3" s="641" t="s">
        <v>406</v>
      </c>
      <c r="H3" s="256"/>
    </row>
    <row r="4" spans="1:8" ht="15">
      <c r="A4" s="557"/>
      <c r="B4" s="557"/>
      <c r="C4" s="643"/>
      <c r="D4" s="643"/>
      <c r="E4" s="643"/>
      <c r="F4" s="643"/>
      <c r="G4" s="641"/>
      <c r="H4" s="256"/>
    </row>
    <row r="5" spans="1:8" ht="15">
      <c r="A5" s="557"/>
      <c r="B5" s="557"/>
      <c r="C5" s="643"/>
      <c r="D5" s="643"/>
      <c r="E5" s="643"/>
      <c r="F5" s="643"/>
      <c r="G5" s="641"/>
      <c r="H5" s="256"/>
    </row>
    <row r="6" spans="1:8" ht="15">
      <c r="A6" s="141">
        <v>1</v>
      </c>
      <c r="B6" s="141">
        <v>2</v>
      </c>
      <c r="C6" s="141">
        <v>3</v>
      </c>
      <c r="D6" s="141">
        <v>4</v>
      </c>
      <c r="E6" s="141">
        <v>5</v>
      </c>
      <c r="F6" s="141">
        <v>6</v>
      </c>
      <c r="G6" s="141">
        <v>7</v>
      </c>
      <c r="H6" s="256"/>
    </row>
    <row r="7" spans="1:8" ht="15">
      <c r="A7" s="83">
        <v>700</v>
      </c>
      <c r="B7" s="83"/>
      <c r="C7" s="83"/>
      <c r="D7" s="434" t="s">
        <v>29</v>
      </c>
      <c r="E7" s="437">
        <f>E8</f>
        <v>265000</v>
      </c>
      <c r="F7" s="437">
        <f t="shared" ref="F7:F8" si="0">F8</f>
        <v>476869.64</v>
      </c>
      <c r="G7" s="46">
        <f>F7/E7*100</f>
        <v>179.9508075471698</v>
      </c>
      <c r="H7" s="256"/>
    </row>
    <row r="8" spans="1:8" ht="15">
      <c r="A8" s="557"/>
      <c r="B8" s="420">
        <v>70005</v>
      </c>
      <c r="C8" s="420"/>
      <c r="D8" s="436" t="s">
        <v>70</v>
      </c>
      <c r="E8" s="438">
        <f>E9</f>
        <v>265000</v>
      </c>
      <c r="F8" s="438">
        <f t="shared" si="0"/>
        <v>476869.64</v>
      </c>
      <c r="G8" s="46">
        <f t="shared" ref="G8:G19" si="1">F8/E8*100</f>
        <v>179.9508075471698</v>
      </c>
      <c r="H8" s="256"/>
    </row>
    <row r="9" spans="1:8" ht="36">
      <c r="A9" s="557"/>
      <c r="B9" s="420"/>
      <c r="C9" s="420">
        <v>2350</v>
      </c>
      <c r="D9" s="436" t="s">
        <v>407</v>
      </c>
      <c r="E9" s="438">
        <v>265000</v>
      </c>
      <c r="F9" s="438">
        <v>476869.64</v>
      </c>
      <c r="G9" s="46">
        <f t="shared" si="1"/>
        <v>179.9508075471698</v>
      </c>
      <c r="H9" s="256"/>
    </row>
    <row r="10" spans="1:8" ht="15">
      <c r="A10" s="83">
        <v>710</v>
      </c>
      <c r="B10" s="435"/>
      <c r="C10" s="435"/>
      <c r="D10" s="434" t="s">
        <v>30</v>
      </c>
      <c r="E10" s="438"/>
      <c r="F10" s="437">
        <f>F11</f>
        <v>3084.46</v>
      </c>
      <c r="G10" s="46"/>
      <c r="H10" s="256"/>
    </row>
    <row r="11" spans="1:8" ht="15">
      <c r="A11" s="642"/>
      <c r="B11" s="420">
        <v>71015</v>
      </c>
      <c r="C11" s="435"/>
      <c r="D11" s="436" t="s">
        <v>73</v>
      </c>
      <c r="E11" s="438"/>
      <c r="F11" s="438">
        <f>F12</f>
        <v>3084.46</v>
      </c>
      <c r="G11" s="46"/>
      <c r="H11" s="256"/>
    </row>
    <row r="12" spans="1:8" ht="36">
      <c r="A12" s="642"/>
      <c r="B12" s="435"/>
      <c r="C12" s="420">
        <v>2350</v>
      </c>
      <c r="D12" s="436" t="s">
        <v>407</v>
      </c>
      <c r="E12" s="438"/>
      <c r="F12" s="438">
        <v>3084.46</v>
      </c>
      <c r="G12" s="46"/>
      <c r="H12" s="256"/>
    </row>
    <row r="13" spans="1:8" ht="24">
      <c r="A13" s="83">
        <v>754</v>
      </c>
      <c r="B13" s="420"/>
      <c r="C13" s="420"/>
      <c r="D13" s="434" t="s">
        <v>32</v>
      </c>
      <c r="E13" s="439">
        <f>E14</f>
        <v>1000</v>
      </c>
      <c r="F13" s="439">
        <f t="shared" ref="F13:F14" si="2">F14</f>
        <v>27.54</v>
      </c>
      <c r="G13" s="46">
        <f t="shared" si="1"/>
        <v>2.754</v>
      </c>
      <c r="H13" s="256"/>
    </row>
    <row r="14" spans="1:8" ht="24">
      <c r="A14" s="557"/>
      <c r="B14" s="420">
        <v>75411</v>
      </c>
      <c r="C14" s="420"/>
      <c r="D14" s="436" t="s">
        <v>40</v>
      </c>
      <c r="E14" s="440">
        <f>E15</f>
        <v>1000</v>
      </c>
      <c r="F14" s="440">
        <f t="shared" si="2"/>
        <v>27.54</v>
      </c>
      <c r="G14" s="46">
        <f t="shared" si="1"/>
        <v>2.754</v>
      </c>
      <c r="H14" s="256"/>
    </row>
    <row r="15" spans="1:8" ht="36">
      <c r="A15" s="557"/>
      <c r="B15" s="420"/>
      <c r="C15" s="420">
        <v>2350</v>
      </c>
      <c r="D15" s="436" t="s">
        <v>407</v>
      </c>
      <c r="E15" s="440">
        <v>1000</v>
      </c>
      <c r="F15" s="440">
        <v>27.54</v>
      </c>
      <c r="G15" s="46">
        <f t="shared" si="1"/>
        <v>2.754</v>
      </c>
      <c r="H15" s="256"/>
    </row>
    <row r="16" spans="1:8" ht="15">
      <c r="A16" s="83">
        <v>852</v>
      </c>
      <c r="B16" s="83"/>
      <c r="C16" s="83"/>
      <c r="D16" s="434" t="s">
        <v>35</v>
      </c>
      <c r="E16" s="439">
        <f>E17</f>
        <v>3000</v>
      </c>
      <c r="F16" s="439">
        <f t="shared" ref="F16:F17" si="3">F17</f>
        <v>3108.5</v>
      </c>
      <c r="G16" s="46">
        <f t="shared" si="1"/>
        <v>103.61666666666667</v>
      </c>
      <c r="H16" s="256"/>
    </row>
    <row r="17" spans="1:8" ht="15">
      <c r="A17" s="557"/>
      <c r="B17" s="420">
        <v>85203</v>
      </c>
      <c r="C17" s="420"/>
      <c r="D17" s="436" t="s">
        <v>90</v>
      </c>
      <c r="E17" s="440">
        <f>E18</f>
        <v>3000</v>
      </c>
      <c r="F17" s="440">
        <f t="shared" si="3"/>
        <v>3108.5</v>
      </c>
      <c r="G17" s="46">
        <f t="shared" si="1"/>
        <v>103.61666666666667</v>
      </c>
      <c r="H17" s="256"/>
    </row>
    <row r="18" spans="1:8" ht="36">
      <c r="A18" s="557"/>
      <c r="B18" s="420"/>
      <c r="C18" s="420">
        <v>2350</v>
      </c>
      <c r="D18" s="436" t="s">
        <v>407</v>
      </c>
      <c r="E18" s="440">
        <v>3000</v>
      </c>
      <c r="F18" s="440">
        <v>3108.5</v>
      </c>
      <c r="G18" s="46">
        <f t="shared" si="1"/>
        <v>103.61666666666667</v>
      </c>
      <c r="H18" s="256"/>
    </row>
    <row r="19" spans="1:8" ht="15.75" thickBot="1">
      <c r="A19" s="638" t="s">
        <v>26</v>
      </c>
      <c r="B19" s="639"/>
      <c r="C19" s="639"/>
      <c r="D19" s="640"/>
      <c r="E19" s="441">
        <f>E7+E10+E13+E16</f>
        <v>269000</v>
      </c>
      <c r="F19" s="441">
        <f t="shared" ref="F19" si="4">F7+F10+F13+F16</f>
        <v>483090.14</v>
      </c>
      <c r="G19" s="128">
        <f t="shared" si="1"/>
        <v>179.58741263940522</v>
      </c>
      <c r="H19" s="256"/>
    </row>
  </sheetData>
  <mergeCells count="12">
    <mergeCell ref="A19:D19"/>
    <mergeCell ref="G3:G5"/>
    <mergeCell ref="A8:A9"/>
    <mergeCell ref="A11:A12"/>
    <mergeCell ref="A14:A15"/>
    <mergeCell ref="A17:A18"/>
    <mergeCell ref="A3:A5"/>
    <mergeCell ref="B3:B5"/>
    <mergeCell ref="C3:C5"/>
    <mergeCell ref="D3:D5"/>
    <mergeCell ref="E3:E5"/>
    <mergeCell ref="F3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57"/>
  <sheetViews>
    <sheetView view="pageLayout" topLeftCell="A22" workbookViewId="0">
      <selection activeCell="J88" sqref="J88"/>
    </sheetView>
  </sheetViews>
  <sheetFormatPr defaultRowHeight="12.75"/>
  <cols>
    <col min="1" max="1" width="15.140625" customWidth="1"/>
    <col min="2" max="2" width="19.42578125" customWidth="1"/>
    <col min="3" max="3" width="18.140625" customWidth="1"/>
    <col min="4" max="5" width="2.140625" customWidth="1"/>
    <col min="6" max="9" width="5.7109375" customWidth="1"/>
    <col min="10" max="10" width="60.42578125" customWidth="1"/>
    <col min="11" max="11" width="2.28515625" customWidth="1"/>
    <col min="16" max="16" width="5.140625" customWidth="1"/>
    <col min="17" max="17" width="9.140625" hidden="1" customWidth="1"/>
  </cols>
  <sheetData>
    <row r="2" spans="1:3">
      <c r="B2" t="s">
        <v>135</v>
      </c>
      <c r="C2" t="s">
        <v>127</v>
      </c>
    </row>
    <row r="3" spans="1:3">
      <c r="A3" s="36" t="s">
        <v>13</v>
      </c>
      <c r="B3" s="34">
        <v>21000</v>
      </c>
      <c r="C3" s="38">
        <v>1599</v>
      </c>
    </row>
    <row r="4" spans="1:3">
      <c r="A4" s="36" t="s">
        <v>14</v>
      </c>
      <c r="B4" s="29">
        <v>270000</v>
      </c>
      <c r="C4" s="39">
        <v>132553.39000000001</v>
      </c>
    </row>
    <row r="5" spans="1:3">
      <c r="A5" s="36">
        <v>600</v>
      </c>
      <c r="B5" s="29">
        <v>16500</v>
      </c>
      <c r="C5" s="39">
        <v>21465.74</v>
      </c>
    </row>
    <row r="6" spans="1:3">
      <c r="A6" s="36" t="s">
        <v>138</v>
      </c>
      <c r="B6" s="29">
        <v>1645509.01</v>
      </c>
      <c r="C6" s="39">
        <v>230733.96</v>
      </c>
    </row>
    <row r="7" spans="1:3">
      <c r="A7" s="36" t="s">
        <v>139</v>
      </c>
      <c r="B7" s="29">
        <v>762700</v>
      </c>
      <c r="C7" s="39">
        <v>328204.88</v>
      </c>
    </row>
    <row r="8" spans="1:3">
      <c r="A8" s="36" t="s">
        <v>140</v>
      </c>
      <c r="B8" s="29">
        <v>411476</v>
      </c>
      <c r="C8" s="39">
        <v>116406.15</v>
      </c>
    </row>
    <row r="9" spans="1:3">
      <c r="A9" s="2">
        <v>754</v>
      </c>
      <c r="B9" s="29">
        <v>2982732.22</v>
      </c>
      <c r="C9" s="39">
        <v>1858975.73</v>
      </c>
    </row>
    <row r="10" spans="1:3">
      <c r="A10" s="2">
        <v>756</v>
      </c>
      <c r="B10" s="29">
        <v>6477887</v>
      </c>
      <c r="C10" s="39">
        <v>3169768.21</v>
      </c>
    </row>
    <row r="11" spans="1:3">
      <c r="A11" s="2">
        <v>758</v>
      </c>
      <c r="B11" s="29">
        <v>27378432</v>
      </c>
      <c r="C11" s="39">
        <v>15869489.859999999</v>
      </c>
    </row>
    <row r="12" spans="1:3">
      <c r="A12" s="2">
        <v>801</v>
      </c>
      <c r="B12" s="29">
        <v>519174.31</v>
      </c>
      <c r="C12" s="39">
        <v>246072.57</v>
      </c>
    </row>
    <row r="13" spans="1:3">
      <c r="A13" s="2">
        <v>851</v>
      </c>
      <c r="B13" s="29">
        <v>2637931.41</v>
      </c>
      <c r="C13" s="39">
        <v>1843176.41</v>
      </c>
    </row>
    <row r="14" spans="1:3">
      <c r="A14" s="2">
        <v>852</v>
      </c>
      <c r="B14" s="29">
        <v>5967731.3600000003</v>
      </c>
      <c r="C14" s="39">
        <v>2995144.12</v>
      </c>
    </row>
    <row r="15" spans="1:3">
      <c r="A15" s="226">
        <v>853</v>
      </c>
      <c r="B15" s="29">
        <v>1809200.72</v>
      </c>
      <c r="C15" s="39">
        <v>1227933.1200000001</v>
      </c>
    </row>
    <row r="16" spans="1:3">
      <c r="A16" s="226">
        <v>854</v>
      </c>
      <c r="B16" s="29">
        <v>380939.92</v>
      </c>
      <c r="C16" s="39">
        <v>333129.34999999998</v>
      </c>
    </row>
    <row r="17" spans="1:3">
      <c r="A17" s="2">
        <v>900</v>
      </c>
      <c r="B17" s="29">
        <v>289502.40999999997</v>
      </c>
      <c r="C17" s="39">
        <v>30988.98</v>
      </c>
    </row>
    <row r="18" spans="1:3">
      <c r="A18" s="132">
        <v>926</v>
      </c>
      <c r="B18" s="29"/>
      <c r="C18" s="39">
        <v>0</v>
      </c>
    </row>
    <row r="19" spans="1:3">
      <c r="A19" s="2"/>
      <c r="C19" s="29"/>
    </row>
    <row r="42" spans="1:10">
      <c r="A42" s="2"/>
      <c r="B42" s="2"/>
      <c r="C42" s="2"/>
      <c r="D42" s="2"/>
      <c r="E42" s="2"/>
      <c r="F42" s="2"/>
    </row>
    <row r="43" spans="1:10" ht="26.25" customHeight="1">
      <c r="A43" s="226">
        <v>7</v>
      </c>
      <c r="B43" s="226"/>
      <c r="C43" s="226"/>
      <c r="D43" s="226"/>
      <c r="E43" s="226"/>
      <c r="F43" s="226"/>
      <c r="G43" s="2"/>
      <c r="H43" s="2"/>
      <c r="I43" s="2"/>
      <c r="J43" s="2"/>
    </row>
    <row r="44" spans="1:10" ht="12.75" hidden="1" customHeight="1">
      <c r="A44" s="226"/>
      <c r="B44" s="226"/>
      <c r="C44" s="226"/>
      <c r="D44" s="226"/>
      <c r="E44" s="226"/>
      <c r="F44" s="226"/>
      <c r="G44" s="226"/>
      <c r="H44" s="226"/>
      <c r="I44" s="226"/>
      <c r="J44" s="226"/>
    </row>
    <row r="45" spans="1:10" ht="9.75" hidden="1" customHeight="1">
      <c r="A45" s="226"/>
      <c r="B45" s="226"/>
      <c r="C45" s="226"/>
      <c r="D45" s="226"/>
      <c r="E45" s="226"/>
      <c r="F45" s="226"/>
      <c r="G45" s="226"/>
      <c r="H45" s="226"/>
      <c r="I45" s="226"/>
      <c r="J45" s="226"/>
    </row>
    <row r="46" spans="1:10" ht="12.75" hidden="1" customHeight="1">
      <c r="A46" s="226"/>
      <c r="B46" s="226"/>
      <c r="C46" s="226"/>
      <c r="D46" s="226"/>
      <c r="E46" s="226"/>
      <c r="F46" s="226"/>
      <c r="G46" s="226"/>
      <c r="H46" s="226"/>
      <c r="I46" s="226"/>
      <c r="J46" s="226"/>
    </row>
    <row r="47" spans="1:10" ht="12.75" hidden="1" customHeight="1">
      <c r="G47" s="226"/>
      <c r="H47" s="226"/>
      <c r="I47" s="226"/>
      <c r="J47" s="226"/>
    </row>
    <row r="56" spans="1:10">
      <c r="A56" s="226"/>
      <c r="B56" s="226"/>
      <c r="C56" s="226"/>
      <c r="D56" s="226"/>
      <c r="E56" s="226"/>
      <c r="F56" s="226"/>
    </row>
    <row r="57" spans="1:10" ht="35.25" customHeight="1">
      <c r="G57" s="226"/>
      <c r="H57" s="226"/>
      <c r="I57" s="226"/>
      <c r="J57" s="226"/>
    </row>
  </sheetData>
  <phoneticPr fontId="0" type="noConversion"/>
  <pageMargins left="0.82677165354330717" right="0.62992125984251968" top="0.98425196850393704" bottom="0.98425196850393704" header="0.51181102362204722" footer="0.51181102362204722"/>
  <pageSetup paperSize="9" scale="63" orientation="portrait" r:id="rId1"/>
  <headerFooter alignWithMargins="0">
    <oddFooter>&amp;RWykres dochodów Powiatu Białogardzkiego w I półroczu 2010r.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9"/>
  <sheetViews>
    <sheetView view="pageLayout" workbookViewId="0">
      <selection activeCell="H64" sqref="H64"/>
    </sheetView>
  </sheetViews>
  <sheetFormatPr defaultRowHeight="12.75"/>
  <cols>
    <col min="1" max="1" width="4.42578125" style="44" customWidth="1"/>
    <col min="2" max="2" width="5.42578125" style="44" customWidth="1"/>
    <col min="3" max="3" width="4.42578125" style="44" customWidth="1"/>
    <col min="4" max="4" width="39.140625" style="44" customWidth="1"/>
    <col min="5" max="5" width="10.28515625" style="44" customWidth="1"/>
    <col min="6" max="6" width="10.42578125" style="44" customWidth="1"/>
    <col min="7" max="7" width="10.42578125" style="224" customWidth="1"/>
    <col min="8" max="8" width="6.85546875" style="44" customWidth="1"/>
    <col min="9" max="16384" width="9.140625" style="44"/>
  </cols>
  <sheetData>
    <row r="1" spans="1:8">
      <c r="D1" s="518" t="s">
        <v>251</v>
      </c>
      <c r="E1" s="518"/>
      <c r="F1" s="518"/>
      <c r="G1" s="518"/>
      <c r="H1" s="518"/>
    </row>
    <row r="3" spans="1:8">
      <c r="A3" s="547" t="s">
        <v>2</v>
      </c>
      <c r="B3" s="547"/>
      <c r="C3" s="547"/>
      <c r="D3" s="547"/>
      <c r="E3" s="547"/>
      <c r="F3" s="547"/>
      <c r="G3" s="547"/>
      <c r="H3" s="547"/>
    </row>
    <row r="4" spans="1:8">
      <c r="A4" s="547" t="s">
        <v>3</v>
      </c>
      <c r="B4" s="547"/>
      <c r="C4" s="547"/>
      <c r="D4" s="547"/>
      <c r="E4" s="547"/>
      <c r="F4" s="547"/>
      <c r="G4" s="547"/>
      <c r="H4" s="547"/>
    </row>
    <row r="5" spans="1:8">
      <c r="A5" s="548" t="s">
        <v>5</v>
      </c>
      <c r="B5" s="548"/>
      <c r="C5" s="548"/>
      <c r="D5" s="548"/>
      <c r="E5" s="548"/>
      <c r="F5" s="548"/>
      <c r="G5" s="548"/>
      <c r="H5" s="548"/>
    </row>
    <row r="6" spans="1:8">
      <c r="A6" s="547" t="s">
        <v>319</v>
      </c>
      <c r="B6" s="547"/>
      <c r="C6" s="547"/>
      <c r="D6" s="547"/>
      <c r="E6" s="547"/>
      <c r="F6" s="547"/>
      <c r="G6" s="547"/>
      <c r="H6" s="547"/>
    </row>
    <row r="7" spans="1:8" ht="14.25" customHeight="1"/>
    <row r="8" spans="1:8">
      <c r="G8" s="166" t="s">
        <v>143</v>
      </c>
    </row>
    <row r="9" spans="1:8" s="94" customFormat="1" ht="11.25" customHeight="1">
      <c r="A9" s="544" t="s">
        <v>0</v>
      </c>
      <c r="B9" s="544" t="s">
        <v>62</v>
      </c>
      <c r="C9" s="544" t="s">
        <v>63</v>
      </c>
      <c r="D9" s="544" t="s">
        <v>1</v>
      </c>
      <c r="E9" s="541" t="s">
        <v>157</v>
      </c>
      <c r="F9" s="552" t="s">
        <v>127</v>
      </c>
      <c r="G9" s="552"/>
      <c r="H9" s="541" t="s">
        <v>128</v>
      </c>
    </row>
    <row r="10" spans="1:8" s="82" customFormat="1" ht="12.75" customHeight="1">
      <c r="A10" s="545"/>
      <c r="B10" s="545"/>
      <c r="C10" s="545"/>
      <c r="D10" s="545"/>
      <c r="E10" s="542"/>
      <c r="F10" s="542" t="s">
        <v>215</v>
      </c>
      <c r="G10" s="542" t="s">
        <v>216</v>
      </c>
      <c r="H10" s="542"/>
    </row>
    <row r="11" spans="1:8" s="94" customFormat="1" ht="11.25" customHeight="1">
      <c r="A11" s="546"/>
      <c r="B11" s="546"/>
      <c r="C11" s="546"/>
      <c r="D11" s="546"/>
      <c r="E11" s="543"/>
      <c r="F11" s="543"/>
      <c r="G11" s="543"/>
      <c r="H11" s="543"/>
    </row>
    <row r="12" spans="1:8" s="82" customFormat="1" ht="9" customHeight="1">
      <c r="A12" s="45">
        <v>1</v>
      </c>
      <c r="B12" s="45">
        <v>2</v>
      </c>
      <c r="C12" s="45">
        <v>3</v>
      </c>
      <c r="D12" s="45">
        <v>4</v>
      </c>
      <c r="E12" s="45">
        <v>5</v>
      </c>
      <c r="F12" s="45">
        <v>6</v>
      </c>
      <c r="G12" s="225">
        <v>7</v>
      </c>
      <c r="H12" s="225">
        <v>8</v>
      </c>
    </row>
    <row r="13" spans="1:8" s="95" customFormat="1" ht="12">
      <c r="A13" s="348" t="s">
        <v>13</v>
      </c>
      <c r="B13" s="348"/>
      <c r="C13" s="349"/>
      <c r="D13" s="350" t="s">
        <v>27</v>
      </c>
      <c r="E13" s="351">
        <f t="shared" ref="E13:G14" si="0">E14</f>
        <v>21000</v>
      </c>
      <c r="F13" s="351">
        <f t="shared" si="0"/>
        <v>1599</v>
      </c>
      <c r="G13" s="351">
        <f t="shared" si="0"/>
        <v>0</v>
      </c>
      <c r="H13" s="352">
        <f>F13/E13*100</f>
        <v>7.6142857142857139</v>
      </c>
    </row>
    <row r="14" spans="1:8" s="86" customFormat="1" ht="12">
      <c r="A14" s="549" t="s">
        <v>12</v>
      </c>
      <c r="B14" s="90" t="s">
        <v>48</v>
      </c>
      <c r="C14" s="87"/>
      <c r="D14" s="230" t="s">
        <v>64</v>
      </c>
      <c r="E14" s="228">
        <f t="shared" si="0"/>
        <v>21000</v>
      </c>
      <c r="F14" s="228">
        <f t="shared" si="0"/>
        <v>1599</v>
      </c>
      <c r="G14" s="228">
        <f t="shared" si="0"/>
        <v>0</v>
      </c>
      <c r="H14" s="229">
        <f>F14/E14*100</f>
        <v>7.6142857142857139</v>
      </c>
    </row>
    <row r="15" spans="1:8" s="86" customFormat="1" ht="33.75">
      <c r="A15" s="550"/>
      <c r="B15" s="81"/>
      <c r="C15" s="81">
        <v>2110</v>
      </c>
      <c r="D15" s="119" t="s">
        <v>65</v>
      </c>
      <c r="E15" s="228">
        <v>21000</v>
      </c>
      <c r="F15" s="228">
        <v>1599</v>
      </c>
      <c r="G15" s="228">
        <v>0</v>
      </c>
      <c r="H15" s="229">
        <f>F15/E15*100</f>
        <v>7.6142857142857139</v>
      </c>
    </row>
    <row r="16" spans="1:8" s="86" customFormat="1" ht="12">
      <c r="A16" s="353">
        <v>700</v>
      </c>
      <c r="B16" s="353"/>
      <c r="C16" s="353"/>
      <c r="D16" s="354" t="s">
        <v>29</v>
      </c>
      <c r="E16" s="351">
        <f>E17</f>
        <v>107509.01</v>
      </c>
      <c r="F16" s="351">
        <f>F17</f>
        <v>116711.66</v>
      </c>
      <c r="G16" s="351">
        <f>G17</f>
        <v>0</v>
      </c>
      <c r="H16" s="352">
        <f t="shared" ref="H16:H25" si="1">F16/E16*100</f>
        <v>108.55988721317405</v>
      </c>
    </row>
    <row r="17" spans="1:20" s="86" customFormat="1" ht="12" customHeight="1">
      <c r="A17" s="549" t="s">
        <v>12</v>
      </c>
      <c r="B17" s="81">
        <v>70005</v>
      </c>
      <c r="C17" s="81"/>
      <c r="D17" s="119" t="s">
        <v>70</v>
      </c>
      <c r="E17" s="228">
        <f>SUM(E18:E19)</f>
        <v>107509.01</v>
      </c>
      <c r="F17" s="228">
        <f>SUM(F18:F19)</f>
        <v>116711.66</v>
      </c>
      <c r="G17" s="228">
        <f>SUM(G18:G19)</f>
        <v>0</v>
      </c>
      <c r="H17" s="229">
        <f t="shared" si="1"/>
        <v>108.55988721317405</v>
      </c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</row>
    <row r="18" spans="1:20" s="95" customFormat="1" ht="33" customHeight="1">
      <c r="A18" s="550"/>
      <c r="B18" s="549"/>
      <c r="C18" s="81">
        <v>2110</v>
      </c>
      <c r="D18" s="119" t="s">
        <v>65</v>
      </c>
      <c r="E18" s="228">
        <v>11000</v>
      </c>
      <c r="F18" s="228">
        <v>5498</v>
      </c>
      <c r="G18" s="228">
        <v>0</v>
      </c>
      <c r="H18" s="229">
        <f t="shared" si="1"/>
        <v>49.981818181818184</v>
      </c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</row>
    <row r="19" spans="1:20" s="95" customFormat="1" ht="34.5" customHeight="1">
      <c r="A19" s="551"/>
      <c r="B19" s="551"/>
      <c r="C19" s="81">
        <v>2360</v>
      </c>
      <c r="D19" s="119" t="s">
        <v>131</v>
      </c>
      <c r="E19" s="228">
        <v>96509.01</v>
      </c>
      <c r="F19" s="228">
        <v>111213.66</v>
      </c>
      <c r="G19" s="228">
        <v>0</v>
      </c>
      <c r="H19" s="229">
        <f t="shared" si="1"/>
        <v>115.23655666968298</v>
      </c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</row>
    <row r="20" spans="1:20" s="86" customFormat="1" ht="15" customHeight="1">
      <c r="A20" s="355">
        <v>710</v>
      </c>
      <c r="B20" s="348"/>
      <c r="C20" s="349"/>
      <c r="D20" s="354" t="s">
        <v>30</v>
      </c>
      <c r="E20" s="351">
        <f>E21+E23+E25</f>
        <v>412700</v>
      </c>
      <c r="F20" s="351">
        <f>F21+F23+F25</f>
        <v>162546.07999999999</v>
      </c>
      <c r="G20" s="351">
        <f>G21+G23+G25</f>
        <v>0</v>
      </c>
      <c r="H20" s="352">
        <f t="shared" si="1"/>
        <v>39.386014053792096</v>
      </c>
    </row>
    <row r="21" spans="1:20" s="86" customFormat="1" ht="14.25" customHeight="1">
      <c r="A21" s="553" t="s">
        <v>12</v>
      </c>
      <c r="B21" s="96">
        <v>71013</v>
      </c>
      <c r="C21" s="87"/>
      <c r="D21" s="119" t="s">
        <v>71</v>
      </c>
      <c r="E21" s="228">
        <f>E22</f>
        <v>99000</v>
      </c>
      <c r="F21" s="228">
        <f>F22</f>
        <v>0</v>
      </c>
      <c r="G21" s="228">
        <f>G22</f>
        <v>0</v>
      </c>
      <c r="H21" s="229">
        <f t="shared" si="1"/>
        <v>0</v>
      </c>
    </row>
    <row r="22" spans="1:20" s="86" customFormat="1" ht="33.75" customHeight="1">
      <c r="A22" s="554"/>
      <c r="B22" s="97"/>
      <c r="C22" s="81">
        <v>2110</v>
      </c>
      <c r="D22" s="119" t="s">
        <v>65</v>
      </c>
      <c r="E22" s="228">
        <v>99000</v>
      </c>
      <c r="F22" s="228">
        <v>0</v>
      </c>
      <c r="G22" s="228">
        <v>0</v>
      </c>
      <c r="H22" s="229">
        <f t="shared" si="1"/>
        <v>0</v>
      </c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</row>
    <row r="23" spans="1:20" s="95" customFormat="1" ht="12">
      <c r="A23" s="554"/>
      <c r="B23" s="97">
        <v>71014</v>
      </c>
      <c r="C23" s="81"/>
      <c r="D23" s="119" t="s">
        <v>72</v>
      </c>
      <c r="E23" s="228">
        <f>E24</f>
        <v>24000</v>
      </c>
      <c r="F23" s="228">
        <f>F24</f>
        <v>9225</v>
      </c>
      <c r="G23" s="228">
        <f>G24</f>
        <v>0</v>
      </c>
      <c r="H23" s="229">
        <f t="shared" si="1"/>
        <v>38.4375</v>
      </c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</row>
    <row r="24" spans="1:20" s="86" customFormat="1" ht="33" customHeight="1">
      <c r="A24" s="554"/>
      <c r="B24" s="97"/>
      <c r="C24" s="81">
        <v>2110</v>
      </c>
      <c r="D24" s="119" t="s">
        <v>65</v>
      </c>
      <c r="E24" s="228">
        <v>24000</v>
      </c>
      <c r="F24" s="228">
        <v>9225</v>
      </c>
      <c r="G24" s="228">
        <v>0</v>
      </c>
      <c r="H24" s="229">
        <f t="shared" si="1"/>
        <v>38.4375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</row>
    <row r="25" spans="1:20" s="86" customFormat="1" ht="12">
      <c r="A25" s="554"/>
      <c r="B25" s="222">
        <v>71015</v>
      </c>
      <c r="C25" s="81"/>
      <c r="D25" s="119" t="s">
        <v>73</v>
      </c>
      <c r="E25" s="228">
        <f>SUM(E26:E29)</f>
        <v>289700</v>
      </c>
      <c r="F25" s="228">
        <f>SUM(F26:F29)</f>
        <v>153321.07999999999</v>
      </c>
      <c r="G25" s="228">
        <f>SUM(G26:G29)</f>
        <v>0</v>
      </c>
      <c r="H25" s="229">
        <f t="shared" si="1"/>
        <v>52.924086986537787</v>
      </c>
    </row>
    <row r="26" spans="1:20" s="86" customFormat="1" ht="12">
      <c r="A26" s="554"/>
      <c r="B26" s="553"/>
      <c r="C26" s="98" t="s">
        <v>37</v>
      </c>
      <c r="D26" s="118" t="s">
        <v>38</v>
      </c>
      <c r="E26" s="228">
        <v>0</v>
      </c>
      <c r="F26" s="228">
        <v>238.9</v>
      </c>
      <c r="G26" s="228">
        <v>0</v>
      </c>
      <c r="H26" s="229"/>
    </row>
    <row r="27" spans="1:20" s="86" customFormat="1" ht="12.75" customHeight="1">
      <c r="A27" s="554"/>
      <c r="B27" s="554"/>
      <c r="C27" s="98" t="s">
        <v>49</v>
      </c>
      <c r="D27" s="119" t="s">
        <v>59</v>
      </c>
      <c r="E27" s="228">
        <v>0</v>
      </c>
      <c r="F27" s="228">
        <v>326.43</v>
      </c>
      <c r="G27" s="228">
        <v>0</v>
      </c>
      <c r="H27" s="229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</row>
    <row r="28" spans="1:20" s="86" customFormat="1" ht="34.5" customHeight="1">
      <c r="A28" s="554"/>
      <c r="B28" s="554"/>
      <c r="C28" s="93">
        <v>2110</v>
      </c>
      <c r="D28" s="119" t="s">
        <v>65</v>
      </c>
      <c r="E28" s="228">
        <v>289700</v>
      </c>
      <c r="F28" s="228">
        <v>152636</v>
      </c>
      <c r="G28" s="228">
        <v>0</v>
      </c>
      <c r="H28" s="229">
        <f t="shared" ref="H28:H40" si="2">F28/E28*100</f>
        <v>52.687607870210563</v>
      </c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</row>
    <row r="29" spans="1:20" s="86" customFormat="1" ht="34.5" customHeight="1">
      <c r="A29" s="555"/>
      <c r="B29" s="555"/>
      <c r="C29" s="93">
        <v>2360</v>
      </c>
      <c r="D29" s="119" t="s">
        <v>131</v>
      </c>
      <c r="E29" s="228">
        <v>0</v>
      </c>
      <c r="F29" s="228">
        <v>119.75</v>
      </c>
      <c r="G29" s="228">
        <v>0</v>
      </c>
      <c r="H29" s="229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</row>
    <row r="30" spans="1:20" s="86" customFormat="1" ht="12">
      <c r="A30" s="349">
        <v>750</v>
      </c>
      <c r="B30" s="349"/>
      <c r="C30" s="349"/>
      <c r="D30" s="354" t="s">
        <v>31</v>
      </c>
      <c r="E30" s="351">
        <f>E31+E33+E35</f>
        <v>126976</v>
      </c>
      <c r="F30" s="351">
        <f>F31+F33+F35</f>
        <v>76609.509999999995</v>
      </c>
      <c r="G30" s="351">
        <f>G31+G33</f>
        <v>0</v>
      </c>
      <c r="H30" s="352">
        <f t="shared" si="2"/>
        <v>60.333850491431448</v>
      </c>
    </row>
    <row r="31" spans="1:20" s="86" customFormat="1" ht="12">
      <c r="A31" s="553" t="s">
        <v>12</v>
      </c>
      <c r="B31" s="87">
        <v>75011</v>
      </c>
      <c r="C31" s="87"/>
      <c r="D31" s="119" t="s">
        <v>75</v>
      </c>
      <c r="E31" s="228">
        <f>E32</f>
        <v>104800</v>
      </c>
      <c r="F31" s="228">
        <f>F32</f>
        <v>57279</v>
      </c>
      <c r="G31" s="228">
        <f>G32</f>
        <v>0</v>
      </c>
      <c r="H31" s="229">
        <f t="shared" si="2"/>
        <v>54.655534351145043</v>
      </c>
    </row>
    <row r="32" spans="1:20" s="86" customFormat="1" ht="33.75">
      <c r="A32" s="554"/>
      <c r="B32" s="87"/>
      <c r="C32" s="81">
        <v>2110</v>
      </c>
      <c r="D32" s="119" t="s">
        <v>65</v>
      </c>
      <c r="E32" s="228">
        <v>104800</v>
      </c>
      <c r="F32" s="228">
        <v>57279</v>
      </c>
      <c r="G32" s="228">
        <v>0</v>
      </c>
      <c r="H32" s="229">
        <f t="shared" si="2"/>
        <v>54.655534351145043</v>
      </c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</row>
    <row r="33" spans="1:8" s="86" customFormat="1" ht="12">
      <c r="A33" s="554"/>
      <c r="B33" s="87">
        <v>75045</v>
      </c>
      <c r="C33" s="87"/>
      <c r="D33" s="119" t="s">
        <v>286</v>
      </c>
      <c r="E33" s="228">
        <f>E34</f>
        <v>20000</v>
      </c>
      <c r="F33" s="228">
        <f>F34</f>
        <v>17154.509999999998</v>
      </c>
      <c r="G33" s="228">
        <f>G34</f>
        <v>0</v>
      </c>
      <c r="H33" s="229">
        <f t="shared" si="2"/>
        <v>85.772549999999995</v>
      </c>
    </row>
    <row r="34" spans="1:8" s="86" customFormat="1" ht="33" customHeight="1">
      <c r="A34" s="554"/>
      <c r="B34" s="81"/>
      <c r="C34" s="81">
        <v>2110</v>
      </c>
      <c r="D34" s="119" t="s">
        <v>65</v>
      </c>
      <c r="E34" s="228">
        <v>20000</v>
      </c>
      <c r="F34" s="228">
        <v>17154.509999999998</v>
      </c>
      <c r="G34" s="228">
        <v>0</v>
      </c>
      <c r="H34" s="229">
        <f t="shared" si="2"/>
        <v>85.772549999999995</v>
      </c>
    </row>
    <row r="35" spans="1:8" s="86" customFormat="1" ht="15.75" customHeight="1">
      <c r="A35" s="554"/>
      <c r="B35" s="471">
        <v>75095</v>
      </c>
      <c r="C35" s="373"/>
      <c r="D35" s="107" t="s">
        <v>74</v>
      </c>
      <c r="E35" s="228">
        <f>E36</f>
        <v>2176</v>
      </c>
      <c r="F35" s="228">
        <f>F36</f>
        <v>2176</v>
      </c>
      <c r="G35" s="228">
        <v>0</v>
      </c>
      <c r="H35" s="229">
        <f t="shared" si="2"/>
        <v>100</v>
      </c>
    </row>
    <row r="36" spans="1:8" s="86" customFormat="1" ht="36.75" customHeight="1">
      <c r="A36" s="555"/>
      <c r="B36" s="223"/>
      <c r="C36" s="223">
        <v>2110</v>
      </c>
      <c r="D36" s="119" t="s">
        <v>65</v>
      </c>
      <c r="E36" s="228">
        <v>2176</v>
      </c>
      <c r="F36" s="228">
        <v>2176</v>
      </c>
      <c r="G36" s="228">
        <v>0</v>
      </c>
      <c r="H36" s="229">
        <f t="shared" si="2"/>
        <v>100</v>
      </c>
    </row>
    <row r="37" spans="1:8" s="86" customFormat="1" ht="13.5" customHeight="1">
      <c r="A37" s="356">
        <v>754</v>
      </c>
      <c r="B37" s="353"/>
      <c r="C37" s="353"/>
      <c r="D37" s="354" t="s">
        <v>32</v>
      </c>
      <c r="E37" s="351">
        <f>E38</f>
        <v>2976000</v>
      </c>
      <c r="F37" s="351">
        <f>F38</f>
        <v>1852243.5099999998</v>
      </c>
      <c r="G37" s="351">
        <f>G38</f>
        <v>0</v>
      </c>
      <c r="H37" s="352">
        <f t="shared" si="2"/>
        <v>62.239365255376335</v>
      </c>
    </row>
    <row r="38" spans="1:8" s="86" customFormat="1" ht="12">
      <c r="A38" s="549" t="s">
        <v>12</v>
      </c>
      <c r="B38" s="99">
        <v>75411</v>
      </c>
      <c r="C38" s="81"/>
      <c r="D38" s="119" t="s">
        <v>40</v>
      </c>
      <c r="E38" s="228">
        <f>SUM(E39:E41)</f>
        <v>2976000</v>
      </c>
      <c r="F38" s="228">
        <f>SUM(F39:F42)</f>
        <v>1852243.5099999998</v>
      </c>
      <c r="G38" s="228">
        <f>SUM(G39:G41)</f>
        <v>0</v>
      </c>
      <c r="H38" s="229">
        <f t="shared" si="2"/>
        <v>62.239365255376335</v>
      </c>
    </row>
    <row r="39" spans="1:8" s="86" customFormat="1" ht="12">
      <c r="A39" s="550"/>
      <c r="B39" s="549"/>
      <c r="C39" s="98" t="s">
        <v>49</v>
      </c>
      <c r="D39" s="119" t="s">
        <v>59</v>
      </c>
      <c r="E39" s="228">
        <v>6000</v>
      </c>
      <c r="F39" s="228">
        <v>2852.13</v>
      </c>
      <c r="G39" s="228">
        <v>0</v>
      </c>
      <c r="H39" s="229">
        <f t="shared" si="2"/>
        <v>47.535500000000006</v>
      </c>
    </row>
    <row r="40" spans="1:8" s="86" customFormat="1" ht="12">
      <c r="A40" s="550"/>
      <c r="B40" s="550"/>
      <c r="C40" s="98" t="s">
        <v>56</v>
      </c>
      <c r="D40" s="119" t="s">
        <v>58</v>
      </c>
      <c r="E40" s="228">
        <v>800</v>
      </c>
      <c r="F40" s="228">
        <v>381</v>
      </c>
      <c r="G40" s="228">
        <v>0</v>
      </c>
      <c r="H40" s="229">
        <f t="shared" si="2"/>
        <v>47.625</v>
      </c>
    </row>
    <row r="41" spans="1:8" s="86" customFormat="1" ht="33.75">
      <c r="A41" s="550"/>
      <c r="B41" s="550"/>
      <c r="C41" s="93">
        <v>2110</v>
      </c>
      <c r="D41" s="119" t="s">
        <v>65</v>
      </c>
      <c r="E41" s="228">
        <v>2969200</v>
      </c>
      <c r="F41" s="228">
        <v>1849009</v>
      </c>
      <c r="G41" s="228">
        <v>0</v>
      </c>
      <c r="H41" s="229">
        <f>F41/E41*100</f>
        <v>62.272969149939371</v>
      </c>
    </row>
    <row r="42" spans="1:8" s="86" customFormat="1" ht="33.75">
      <c r="A42" s="551"/>
      <c r="B42" s="551"/>
      <c r="C42" s="93">
        <v>2360</v>
      </c>
      <c r="D42" s="119" t="s">
        <v>131</v>
      </c>
      <c r="E42" s="228">
        <v>0</v>
      </c>
      <c r="F42" s="228">
        <v>1.38</v>
      </c>
      <c r="G42" s="228">
        <v>0</v>
      </c>
      <c r="H42" s="229"/>
    </row>
    <row r="43" spans="1:8" s="86" customFormat="1" ht="12.75" customHeight="1">
      <c r="A43" s="353">
        <v>851</v>
      </c>
      <c r="B43" s="353"/>
      <c r="C43" s="353"/>
      <c r="D43" s="357" t="s">
        <v>34</v>
      </c>
      <c r="E43" s="351">
        <f t="shared" ref="E43:G44" si="3">E44</f>
        <v>2076000</v>
      </c>
      <c r="F43" s="351">
        <f t="shared" si="3"/>
        <v>1281245</v>
      </c>
      <c r="G43" s="351">
        <f t="shared" si="3"/>
        <v>0</v>
      </c>
      <c r="H43" s="352">
        <f t="shared" ref="H43:H47" si="4">F43/E43*100</f>
        <v>61.717003853564542</v>
      </c>
    </row>
    <row r="44" spans="1:8" s="86" customFormat="1" ht="12">
      <c r="A44" s="550"/>
      <c r="B44" s="81">
        <v>85156</v>
      </c>
      <c r="C44" s="81"/>
      <c r="D44" s="231" t="s">
        <v>87</v>
      </c>
      <c r="E44" s="228">
        <f t="shared" si="3"/>
        <v>2076000</v>
      </c>
      <c r="F44" s="228">
        <f t="shared" si="3"/>
        <v>1281245</v>
      </c>
      <c r="G44" s="228">
        <f t="shared" si="3"/>
        <v>0</v>
      </c>
      <c r="H44" s="229">
        <f t="shared" si="4"/>
        <v>61.717003853564542</v>
      </c>
    </row>
    <row r="45" spans="1:8" s="86" customFormat="1" ht="33" customHeight="1">
      <c r="A45" s="550"/>
      <c r="B45" s="81"/>
      <c r="C45" s="81">
        <v>2110</v>
      </c>
      <c r="D45" s="119" t="s">
        <v>65</v>
      </c>
      <c r="E45" s="228">
        <v>2076000</v>
      </c>
      <c r="F45" s="228">
        <v>1281245</v>
      </c>
      <c r="G45" s="228">
        <v>0</v>
      </c>
      <c r="H45" s="229">
        <f t="shared" si="4"/>
        <v>61.717003853564542</v>
      </c>
    </row>
    <row r="46" spans="1:8" s="86" customFormat="1" ht="12">
      <c r="A46" s="353">
        <v>852</v>
      </c>
      <c r="B46" s="353"/>
      <c r="C46" s="353"/>
      <c r="D46" s="354" t="s">
        <v>35</v>
      </c>
      <c r="E46" s="351">
        <f>E47+E53</f>
        <v>768500</v>
      </c>
      <c r="F46" s="351">
        <f>F47+F53</f>
        <v>430898.25</v>
      </c>
      <c r="G46" s="351">
        <f>G47+G53</f>
        <v>0</v>
      </c>
      <c r="H46" s="352">
        <f t="shared" si="4"/>
        <v>56.07003903708523</v>
      </c>
    </row>
    <row r="47" spans="1:8" s="86" customFormat="1" ht="12">
      <c r="A47" s="549"/>
      <c r="B47" s="81">
        <v>85203</v>
      </c>
      <c r="C47" s="81"/>
      <c r="D47" s="119" t="s">
        <v>90</v>
      </c>
      <c r="E47" s="228">
        <f>SUM(E48:E52)</f>
        <v>449000</v>
      </c>
      <c r="F47" s="228">
        <f>SUM(F48:F52)</f>
        <v>261398.25</v>
      </c>
      <c r="G47" s="228">
        <f>SUM(G48:G52)</f>
        <v>0</v>
      </c>
      <c r="H47" s="229">
        <f t="shared" si="4"/>
        <v>58.217873051224942</v>
      </c>
    </row>
    <row r="48" spans="1:8" s="86" customFormat="1" ht="45">
      <c r="A48" s="550"/>
      <c r="B48" s="550"/>
      <c r="C48" s="80" t="s">
        <v>21</v>
      </c>
      <c r="D48" s="119" t="s">
        <v>132</v>
      </c>
      <c r="E48" s="228">
        <v>0</v>
      </c>
      <c r="F48" s="228">
        <v>16870</v>
      </c>
      <c r="G48" s="228">
        <v>0</v>
      </c>
      <c r="H48" s="229"/>
    </row>
    <row r="49" spans="1:8" s="86" customFormat="1" ht="12">
      <c r="A49" s="550"/>
      <c r="B49" s="550"/>
      <c r="C49" s="80" t="s">
        <v>49</v>
      </c>
      <c r="D49" s="119" t="s">
        <v>59</v>
      </c>
      <c r="E49" s="228">
        <v>0</v>
      </c>
      <c r="F49" s="228">
        <v>233.25</v>
      </c>
      <c r="G49" s="228">
        <v>0</v>
      </c>
      <c r="H49" s="229"/>
    </row>
    <row r="50" spans="1:8" s="86" customFormat="1" ht="12">
      <c r="A50" s="550"/>
      <c r="B50" s="550"/>
      <c r="C50" s="80" t="s">
        <v>56</v>
      </c>
      <c r="D50" s="119" t="s">
        <v>58</v>
      </c>
      <c r="E50" s="228">
        <v>0</v>
      </c>
      <c r="F50" s="228">
        <v>3510.23</v>
      </c>
      <c r="G50" s="228">
        <v>0</v>
      </c>
      <c r="H50" s="229"/>
    </row>
    <row r="51" spans="1:8" s="86" customFormat="1" ht="33.75">
      <c r="A51" s="550"/>
      <c r="B51" s="550"/>
      <c r="C51" s="81">
        <v>2110</v>
      </c>
      <c r="D51" s="119" t="s">
        <v>65</v>
      </c>
      <c r="E51" s="228">
        <v>449000</v>
      </c>
      <c r="F51" s="228">
        <v>240660</v>
      </c>
      <c r="G51" s="228">
        <v>0</v>
      </c>
      <c r="H51" s="229">
        <f>F51/E51*100</f>
        <v>53.599109131403125</v>
      </c>
    </row>
    <row r="52" spans="1:8" s="86" customFormat="1" ht="33.75">
      <c r="A52" s="550"/>
      <c r="B52" s="551"/>
      <c r="C52" s="81">
        <v>2360</v>
      </c>
      <c r="D52" s="119" t="s">
        <v>131</v>
      </c>
      <c r="E52" s="228">
        <v>0</v>
      </c>
      <c r="F52" s="228">
        <v>124.77</v>
      </c>
      <c r="G52" s="228">
        <v>0</v>
      </c>
      <c r="H52" s="229"/>
    </row>
    <row r="53" spans="1:8" s="86" customFormat="1" ht="13.5" customHeight="1">
      <c r="A53" s="550"/>
      <c r="B53" s="221">
        <v>85205</v>
      </c>
      <c r="C53" s="223"/>
      <c r="D53" s="115" t="s">
        <v>210</v>
      </c>
      <c r="E53" s="228">
        <f>E54</f>
        <v>319500</v>
      </c>
      <c r="F53" s="228">
        <f>F54</f>
        <v>169500</v>
      </c>
      <c r="G53" s="228">
        <f>G54</f>
        <v>0</v>
      </c>
      <c r="H53" s="229">
        <f t="shared" ref="H53:H58" si="5">F53/E53*100</f>
        <v>53.051643192488264</v>
      </c>
    </row>
    <row r="54" spans="1:8" s="86" customFormat="1" ht="33.75">
      <c r="A54" s="551"/>
      <c r="B54" s="221"/>
      <c r="C54" s="223">
        <v>2110</v>
      </c>
      <c r="D54" s="119" t="s">
        <v>65</v>
      </c>
      <c r="E54" s="228">
        <v>319500</v>
      </c>
      <c r="F54" s="228">
        <v>169500</v>
      </c>
      <c r="G54" s="228">
        <v>0</v>
      </c>
      <c r="H54" s="229">
        <f t="shared" si="5"/>
        <v>53.051643192488264</v>
      </c>
    </row>
    <row r="55" spans="1:8" s="86" customFormat="1" ht="12">
      <c r="A55" s="353">
        <v>853</v>
      </c>
      <c r="B55" s="353"/>
      <c r="C55" s="358"/>
      <c r="D55" s="354" t="s">
        <v>36</v>
      </c>
      <c r="E55" s="351">
        <f t="shared" ref="E55:G56" si="6">E56</f>
        <v>78000</v>
      </c>
      <c r="F55" s="351">
        <f t="shared" si="6"/>
        <v>39000</v>
      </c>
      <c r="G55" s="351">
        <f t="shared" si="6"/>
        <v>0</v>
      </c>
      <c r="H55" s="352">
        <f t="shared" si="5"/>
        <v>50</v>
      </c>
    </row>
    <row r="56" spans="1:8" s="86" customFormat="1" ht="12">
      <c r="A56" s="549" t="s">
        <v>12</v>
      </c>
      <c r="B56" s="81">
        <v>85321</v>
      </c>
      <c r="C56" s="81"/>
      <c r="D56" s="119" t="s">
        <v>93</v>
      </c>
      <c r="E56" s="228">
        <f t="shared" si="6"/>
        <v>78000</v>
      </c>
      <c r="F56" s="228">
        <f t="shared" si="6"/>
        <v>39000</v>
      </c>
      <c r="G56" s="228">
        <f t="shared" si="6"/>
        <v>0</v>
      </c>
      <c r="H56" s="229">
        <f t="shared" si="5"/>
        <v>50</v>
      </c>
    </row>
    <row r="57" spans="1:8" s="86" customFormat="1" ht="33.75">
      <c r="A57" s="551"/>
      <c r="B57" s="81"/>
      <c r="C57" s="81">
        <v>2110</v>
      </c>
      <c r="D57" s="119" t="s">
        <v>65</v>
      </c>
      <c r="E57" s="228">
        <v>78000</v>
      </c>
      <c r="F57" s="228">
        <v>39000</v>
      </c>
      <c r="G57" s="228">
        <v>0</v>
      </c>
      <c r="H57" s="229">
        <f t="shared" si="5"/>
        <v>50</v>
      </c>
    </row>
    <row r="58" spans="1:8" s="86" customFormat="1" ht="12">
      <c r="A58" s="538" t="s">
        <v>26</v>
      </c>
      <c r="B58" s="539"/>
      <c r="C58" s="539"/>
      <c r="D58" s="540"/>
      <c r="E58" s="351">
        <f>E13+E16+E20+E30+E37+E43+E46+E55</f>
        <v>6566685.0099999998</v>
      </c>
      <c r="F58" s="351">
        <f>F13+F16+F20+F30+F37+F43+F46+F55</f>
        <v>3960853.01</v>
      </c>
      <c r="G58" s="351">
        <f>G13+G16+G20+G30+G37+G43+G46+G55</f>
        <v>0</v>
      </c>
      <c r="H58" s="352">
        <f t="shared" si="5"/>
        <v>60.317390037260211</v>
      </c>
    </row>
    <row r="59" spans="1:8" s="86" customFormat="1" ht="12"/>
  </sheetData>
  <mergeCells count="27">
    <mergeCell ref="A56:A57"/>
    <mergeCell ref="B26:B29"/>
    <mergeCell ref="A21:A29"/>
    <mergeCell ref="F10:F11"/>
    <mergeCell ref="A14:A15"/>
    <mergeCell ref="B48:B52"/>
    <mergeCell ref="A44:A45"/>
    <mergeCell ref="A47:A54"/>
    <mergeCell ref="A31:A36"/>
    <mergeCell ref="A38:A42"/>
    <mergeCell ref="B39:B42"/>
    <mergeCell ref="A58:D58"/>
    <mergeCell ref="D1:H1"/>
    <mergeCell ref="H9:H11"/>
    <mergeCell ref="C9:C11"/>
    <mergeCell ref="D9:D11"/>
    <mergeCell ref="A4:H4"/>
    <mergeCell ref="A3:H3"/>
    <mergeCell ref="A5:H5"/>
    <mergeCell ref="A6:H6"/>
    <mergeCell ref="E9:E11"/>
    <mergeCell ref="A9:A11"/>
    <mergeCell ref="B9:B11"/>
    <mergeCell ref="A17:A19"/>
    <mergeCell ref="B18:B19"/>
    <mergeCell ref="F9:G9"/>
    <mergeCell ref="G10:G11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>
    <oddFooter>&amp;C&amp;"Times New (W1),Normalny"Tabela Nr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view="pageLayout" workbookViewId="0">
      <selection activeCell="E29" sqref="E29"/>
    </sheetView>
  </sheetViews>
  <sheetFormatPr defaultRowHeight="12.75"/>
  <cols>
    <col min="1" max="1" width="4.85546875" style="44" customWidth="1"/>
    <col min="2" max="2" width="6.42578125" style="44" customWidth="1"/>
    <col min="3" max="3" width="5.7109375" style="44" customWidth="1"/>
    <col min="4" max="4" width="38.28515625" style="44" customWidth="1"/>
    <col min="5" max="6" width="11.5703125" style="44" customWidth="1"/>
    <col min="7" max="7" width="7.42578125" style="44" customWidth="1"/>
    <col min="8" max="16384" width="9.140625" style="44"/>
  </cols>
  <sheetData>
    <row r="1" spans="1:7">
      <c r="E1" s="518" t="s">
        <v>250</v>
      </c>
      <c r="F1" s="518"/>
      <c r="G1" s="518"/>
    </row>
    <row r="6" spans="1:7">
      <c r="A6" s="547" t="s">
        <v>2</v>
      </c>
      <c r="B6" s="547"/>
      <c r="C6" s="547"/>
      <c r="D6" s="547"/>
      <c r="E6" s="547"/>
      <c r="F6" s="547"/>
      <c r="G6" s="547"/>
    </row>
    <row r="7" spans="1:7">
      <c r="A7" s="547" t="s">
        <v>3</v>
      </c>
      <c r="B7" s="547"/>
      <c r="C7" s="547"/>
      <c r="D7" s="547"/>
      <c r="E7" s="547"/>
      <c r="F7" s="547"/>
      <c r="G7" s="547"/>
    </row>
    <row r="8" spans="1:7" ht="27.75" customHeight="1">
      <c r="A8" s="548" t="s">
        <v>6</v>
      </c>
      <c r="B8" s="548"/>
      <c r="C8" s="548"/>
      <c r="D8" s="548"/>
      <c r="E8" s="548"/>
      <c r="F8" s="548"/>
      <c r="G8" s="548"/>
    </row>
    <row r="9" spans="1:7">
      <c r="A9" s="547" t="s">
        <v>318</v>
      </c>
      <c r="B9" s="547"/>
      <c r="C9" s="547"/>
      <c r="D9" s="547"/>
      <c r="E9" s="547"/>
      <c r="F9" s="547"/>
      <c r="G9" s="547"/>
    </row>
    <row r="11" spans="1:7">
      <c r="F11" s="166" t="s">
        <v>144</v>
      </c>
    </row>
    <row r="12" spans="1:7" s="94" customFormat="1" ht="10.5">
      <c r="A12" s="544" t="s">
        <v>0</v>
      </c>
      <c r="B12" s="544" t="s">
        <v>62</v>
      </c>
      <c r="C12" s="544" t="s">
        <v>63</v>
      </c>
      <c r="D12" s="544" t="s">
        <v>1</v>
      </c>
      <c r="E12" s="541" t="s">
        <v>157</v>
      </c>
      <c r="F12" s="541" t="s">
        <v>191</v>
      </c>
      <c r="G12" s="541" t="s">
        <v>128</v>
      </c>
    </row>
    <row r="13" spans="1:7" s="82" customFormat="1" ht="11.25">
      <c r="A13" s="545"/>
      <c r="B13" s="545"/>
      <c r="C13" s="545"/>
      <c r="D13" s="545"/>
      <c r="E13" s="542"/>
      <c r="F13" s="542"/>
      <c r="G13" s="542"/>
    </row>
    <row r="14" spans="1:7" s="94" customFormat="1" ht="10.5">
      <c r="A14" s="546"/>
      <c r="B14" s="546"/>
      <c r="C14" s="546"/>
      <c r="D14" s="546"/>
      <c r="E14" s="543"/>
      <c r="F14" s="543"/>
      <c r="G14" s="543"/>
    </row>
    <row r="15" spans="1:7" s="82" customFormat="1" ht="9" customHeight="1">
      <c r="A15" s="45">
        <v>1</v>
      </c>
      <c r="B15" s="45">
        <v>2</v>
      </c>
      <c r="C15" s="45">
        <v>3</v>
      </c>
      <c r="D15" s="45">
        <v>4</v>
      </c>
      <c r="E15" s="45">
        <v>5</v>
      </c>
      <c r="F15" s="45">
        <v>6</v>
      </c>
      <c r="G15" s="45">
        <v>7</v>
      </c>
    </row>
    <row r="16" spans="1:7" s="86" customFormat="1" ht="14.25" customHeight="1">
      <c r="A16" s="83">
        <v>750</v>
      </c>
      <c r="B16" s="83"/>
      <c r="C16" s="83"/>
      <c r="D16" s="92" t="s">
        <v>31</v>
      </c>
      <c r="E16" s="84">
        <f>E17</f>
        <v>500</v>
      </c>
      <c r="F16" s="84">
        <f>F17</f>
        <v>0</v>
      </c>
      <c r="G16" s="85">
        <f t="shared" ref="G16:G19" si="0">F16/E16*100</f>
        <v>0</v>
      </c>
    </row>
    <row r="17" spans="1:7" s="86" customFormat="1" ht="12">
      <c r="A17" s="557"/>
      <c r="B17" s="87">
        <v>75045</v>
      </c>
      <c r="C17" s="87"/>
      <c r="D17" s="64" t="s">
        <v>286</v>
      </c>
      <c r="E17" s="88">
        <f>E18</f>
        <v>500</v>
      </c>
      <c r="F17" s="88">
        <f>F18</f>
        <v>0</v>
      </c>
      <c r="G17" s="89">
        <f t="shared" si="0"/>
        <v>0</v>
      </c>
    </row>
    <row r="18" spans="1:7" s="86" customFormat="1" ht="36.75" customHeight="1">
      <c r="A18" s="557"/>
      <c r="B18" s="81"/>
      <c r="C18" s="81">
        <v>2120</v>
      </c>
      <c r="D18" s="64" t="s">
        <v>24</v>
      </c>
      <c r="E18" s="88">
        <v>500</v>
      </c>
      <c r="F18" s="88">
        <v>0</v>
      </c>
      <c r="G18" s="89">
        <f t="shared" si="0"/>
        <v>0</v>
      </c>
    </row>
    <row r="19" spans="1:7" s="86" customFormat="1" ht="12">
      <c r="A19" s="556" t="s">
        <v>26</v>
      </c>
      <c r="B19" s="556"/>
      <c r="C19" s="556"/>
      <c r="D19" s="556"/>
      <c r="E19" s="84">
        <f>E16</f>
        <v>500</v>
      </c>
      <c r="F19" s="84">
        <f>F16</f>
        <v>0</v>
      </c>
      <c r="G19" s="85">
        <f t="shared" si="0"/>
        <v>0</v>
      </c>
    </row>
  </sheetData>
  <mergeCells count="14">
    <mergeCell ref="E1:G1"/>
    <mergeCell ref="A6:G6"/>
    <mergeCell ref="A7:G7"/>
    <mergeCell ref="A8:G8"/>
    <mergeCell ref="A9:G9"/>
    <mergeCell ref="A19:D19"/>
    <mergeCell ref="A17:A18"/>
    <mergeCell ref="F12:F14"/>
    <mergeCell ref="G12:G14"/>
    <mergeCell ref="E12:E14"/>
    <mergeCell ref="A12:A14"/>
    <mergeCell ref="B12:B14"/>
    <mergeCell ref="C12:C14"/>
    <mergeCell ref="D12:D14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>
    <oddFooter>&amp;C&amp;"Times New (W1),Normalny"Tabela Nr 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96"/>
  <sheetViews>
    <sheetView tabSelected="1" showWhiteSpace="0" workbookViewId="0">
      <selection activeCell="P89" sqref="A1:P89"/>
    </sheetView>
  </sheetViews>
  <sheetFormatPr defaultRowHeight="12.75"/>
  <cols>
    <col min="1" max="1" width="4.42578125" customWidth="1"/>
    <col min="2" max="2" width="6" customWidth="1"/>
    <col min="3" max="3" width="25.5703125" customWidth="1"/>
    <col min="4" max="4" width="13" customWidth="1"/>
    <col min="5" max="5" width="12.140625" customWidth="1"/>
    <col min="6" max="6" width="12" customWidth="1"/>
    <col min="7" max="7" width="11.42578125" customWidth="1"/>
    <col min="8" max="8" width="12.28515625" customWidth="1"/>
    <col min="9" max="9" width="10.28515625" customWidth="1"/>
    <col min="10" max="10" width="10.5703125" customWidth="1"/>
    <col min="11" max="11" width="8.85546875" customWidth="1"/>
    <col min="12" max="12" width="9.5703125" customWidth="1"/>
    <col min="13" max="13" width="9.7109375" customWidth="1"/>
    <col min="14" max="14" width="10.7109375" customWidth="1"/>
    <col min="15" max="15" width="9.42578125" customWidth="1"/>
    <col min="16" max="16" width="4.85546875" style="112" customWidth="1"/>
  </cols>
  <sheetData>
    <row r="1" spans="1:35">
      <c r="A1" s="42"/>
      <c r="B1" s="42"/>
      <c r="C1" s="42"/>
      <c r="D1" s="42"/>
      <c r="E1" s="42"/>
      <c r="F1" s="42"/>
      <c r="G1" s="42"/>
      <c r="H1" s="42"/>
      <c r="I1" s="563" t="s">
        <v>252</v>
      </c>
      <c r="J1" s="563"/>
      <c r="K1" s="563"/>
      <c r="L1" s="563"/>
      <c r="M1" s="563"/>
      <c r="N1" s="563"/>
      <c r="O1" s="563"/>
      <c r="P1" s="563"/>
    </row>
    <row r="2" spans="1:35" ht="14.25">
      <c r="A2" s="558" t="s">
        <v>7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</row>
    <row r="3" spans="1:35" ht="14.25">
      <c r="A3" s="558" t="s">
        <v>3</v>
      </c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</row>
    <row r="4" spans="1:35" ht="15.75" customHeight="1">
      <c r="A4" s="559" t="s">
        <v>4</v>
      </c>
      <c r="B4" s="559"/>
      <c r="C4" s="559"/>
      <c r="D4" s="559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</row>
    <row r="5" spans="1:35" ht="14.25">
      <c r="A5" s="558" t="s">
        <v>318</v>
      </c>
      <c r="B5" s="558"/>
      <c r="C5" s="558"/>
      <c r="D5" s="558"/>
      <c r="E5" s="558"/>
      <c r="F5" s="558"/>
      <c r="G5" s="558"/>
      <c r="H5" s="558"/>
      <c r="I5" s="558"/>
      <c r="J5" s="558"/>
      <c r="K5" s="558"/>
      <c r="L5" s="558"/>
      <c r="M5" s="558"/>
      <c r="N5" s="558"/>
      <c r="O5" s="558"/>
      <c r="P5" s="558"/>
    </row>
    <row r="6" spans="1:3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13"/>
    </row>
    <row r="7" spans="1:35">
      <c r="A7" s="42" t="s">
        <v>253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68" t="s">
        <v>143</v>
      </c>
      <c r="N7" s="68"/>
      <c r="O7" s="68"/>
    </row>
    <row r="8" spans="1:35" s="6" customFormat="1" ht="12.75" customHeight="1">
      <c r="A8" s="560" t="s">
        <v>0</v>
      </c>
      <c r="B8" s="560" t="s">
        <v>8</v>
      </c>
      <c r="C8" s="560" t="s">
        <v>1</v>
      </c>
      <c r="D8" s="561" t="s">
        <v>157</v>
      </c>
      <c r="E8" s="520" t="s">
        <v>127</v>
      </c>
      <c r="F8" s="564" t="s">
        <v>147</v>
      </c>
      <c r="G8" s="565"/>
      <c r="H8" s="565"/>
      <c r="I8" s="565"/>
      <c r="J8" s="565"/>
      <c r="K8" s="565"/>
      <c r="L8" s="565"/>
      <c r="M8" s="565"/>
      <c r="N8" s="318"/>
      <c r="O8" s="318"/>
      <c r="P8" s="566" t="s">
        <v>124</v>
      </c>
    </row>
    <row r="9" spans="1:35" s="6" customFormat="1" ht="12.75" customHeight="1">
      <c r="A9" s="560"/>
      <c r="B9" s="560"/>
      <c r="C9" s="560"/>
      <c r="D9" s="561"/>
      <c r="E9" s="521"/>
      <c r="F9" s="505" t="s">
        <v>9</v>
      </c>
      <c r="G9" s="569" t="s">
        <v>10</v>
      </c>
      <c r="H9" s="570"/>
      <c r="I9" s="570"/>
      <c r="J9" s="570"/>
      <c r="K9" s="570"/>
      <c r="L9" s="571"/>
      <c r="M9" s="560" t="s">
        <v>297</v>
      </c>
      <c r="N9" s="561" t="s">
        <v>10</v>
      </c>
      <c r="O9" s="562"/>
      <c r="P9" s="567"/>
    </row>
    <row r="10" spans="1:35" s="6" customFormat="1" ht="73.5" customHeight="1">
      <c r="A10" s="560"/>
      <c r="B10" s="560"/>
      <c r="C10" s="560"/>
      <c r="D10" s="561"/>
      <c r="E10" s="522"/>
      <c r="F10" s="505"/>
      <c r="G10" s="120" t="s">
        <v>211</v>
      </c>
      <c r="H10" s="120" t="s">
        <v>214</v>
      </c>
      <c r="I10" s="120" t="s">
        <v>212</v>
      </c>
      <c r="J10" s="120" t="s">
        <v>311</v>
      </c>
      <c r="K10" s="216" t="s">
        <v>213</v>
      </c>
      <c r="L10" s="120" t="s">
        <v>11</v>
      </c>
      <c r="M10" s="560"/>
      <c r="N10" s="289" t="s">
        <v>299</v>
      </c>
      <c r="O10" s="321" t="s">
        <v>298</v>
      </c>
      <c r="P10" s="568"/>
    </row>
    <row r="11" spans="1:35" s="66" customFormat="1" ht="11.25">
      <c r="A11" s="49">
        <v>1</v>
      </c>
      <c r="B11" s="49">
        <v>2</v>
      </c>
      <c r="C11" s="49">
        <v>3</v>
      </c>
      <c r="D11" s="49">
        <v>4</v>
      </c>
      <c r="E11" s="116">
        <v>5</v>
      </c>
      <c r="F11" s="49">
        <v>6</v>
      </c>
      <c r="G11" s="49">
        <v>7</v>
      </c>
      <c r="H11" s="49">
        <v>8</v>
      </c>
      <c r="I11" s="49">
        <v>9</v>
      </c>
      <c r="J11" s="178">
        <v>10</v>
      </c>
      <c r="K11" s="178">
        <v>11</v>
      </c>
      <c r="L11" s="178">
        <v>12</v>
      </c>
      <c r="M11" s="178">
        <v>13</v>
      </c>
      <c r="N11" s="178">
        <v>14</v>
      </c>
      <c r="O11" s="178">
        <v>15</v>
      </c>
      <c r="P11" s="178">
        <v>16</v>
      </c>
    </row>
    <row r="12" spans="1:35" s="3" customFormat="1">
      <c r="A12" s="185" t="s">
        <v>13</v>
      </c>
      <c r="B12" s="187"/>
      <c r="C12" s="182" t="s">
        <v>27</v>
      </c>
      <c r="D12" s="325">
        <f>D13+D14</f>
        <v>25000</v>
      </c>
      <c r="E12" s="325">
        <f t="shared" ref="E12:M12" si="0">E13+E14</f>
        <v>1599</v>
      </c>
      <c r="F12" s="325">
        <f t="shared" si="0"/>
        <v>1599</v>
      </c>
      <c r="G12" s="325">
        <f t="shared" si="0"/>
        <v>0</v>
      </c>
      <c r="H12" s="325">
        <f t="shared" si="0"/>
        <v>1599</v>
      </c>
      <c r="I12" s="325">
        <f t="shared" si="0"/>
        <v>0</v>
      </c>
      <c r="J12" s="325">
        <f t="shared" si="0"/>
        <v>0</v>
      </c>
      <c r="K12" s="325">
        <f t="shared" si="0"/>
        <v>0</v>
      </c>
      <c r="L12" s="325">
        <f t="shared" si="0"/>
        <v>0</v>
      </c>
      <c r="M12" s="325">
        <f t="shared" si="0"/>
        <v>0</v>
      </c>
      <c r="N12" s="325">
        <f t="shared" ref="N12:O12" si="1">N13+N14</f>
        <v>0</v>
      </c>
      <c r="O12" s="325">
        <f t="shared" si="1"/>
        <v>0</v>
      </c>
      <c r="P12" s="270">
        <f>E12/D12*100</f>
        <v>6.3959999999999999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3" spans="1:35" ht="22.5">
      <c r="A13" s="502" t="s">
        <v>12</v>
      </c>
      <c r="B13" s="144" t="s">
        <v>48</v>
      </c>
      <c r="C13" s="320" t="s">
        <v>64</v>
      </c>
      <c r="D13" s="326">
        <v>21000</v>
      </c>
      <c r="E13" s="326">
        <v>1599</v>
      </c>
      <c r="F13" s="326">
        <v>1599</v>
      </c>
      <c r="G13" s="326">
        <v>0</v>
      </c>
      <c r="H13" s="326">
        <f>F13</f>
        <v>1599</v>
      </c>
      <c r="I13" s="326">
        <v>0</v>
      </c>
      <c r="J13" s="326">
        <v>0</v>
      </c>
      <c r="K13" s="326">
        <v>0</v>
      </c>
      <c r="L13" s="326">
        <v>0</v>
      </c>
      <c r="M13" s="326">
        <v>0</v>
      </c>
      <c r="N13" s="326">
        <v>0</v>
      </c>
      <c r="O13" s="326">
        <v>0</v>
      </c>
      <c r="P13" s="270">
        <f t="shared" ref="P13:P73" si="2">E13/D13*100</f>
        <v>7.6142857142857139</v>
      </c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1:35">
      <c r="A14" s="504"/>
      <c r="B14" s="144" t="s">
        <v>194</v>
      </c>
      <c r="C14" s="173" t="s">
        <v>74</v>
      </c>
      <c r="D14" s="326">
        <v>4000</v>
      </c>
      <c r="E14" s="326">
        <v>0</v>
      </c>
      <c r="F14" s="326">
        <v>0</v>
      </c>
      <c r="G14" s="326">
        <v>0</v>
      </c>
      <c r="H14" s="326">
        <f>F14</f>
        <v>0</v>
      </c>
      <c r="I14" s="326">
        <v>0</v>
      </c>
      <c r="J14" s="326">
        <v>0</v>
      </c>
      <c r="K14" s="326">
        <v>0</v>
      </c>
      <c r="L14" s="326">
        <v>0</v>
      </c>
      <c r="M14" s="326">
        <v>0</v>
      </c>
      <c r="N14" s="326">
        <v>0</v>
      </c>
      <c r="O14" s="326">
        <v>0</v>
      </c>
      <c r="P14" s="270">
        <f t="shared" si="2"/>
        <v>0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1:35" s="4" customFormat="1">
      <c r="A15" s="185" t="s">
        <v>14</v>
      </c>
      <c r="B15" s="185"/>
      <c r="C15" s="182" t="s">
        <v>28</v>
      </c>
      <c r="D15" s="325">
        <f>D16+D17</f>
        <v>320000</v>
      </c>
      <c r="E15" s="325">
        <f t="shared" ref="E15:M15" si="3">E16+E17</f>
        <v>144376.07</v>
      </c>
      <c r="F15" s="325">
        <f t="shared" si="3"/>
        <v>144376.07</v>
      </c>
      <c r="G15" s="325">
        <f t="shared" si="3"/>
        <v>0</v>
      </c>
      <c r="H15" s="325">
        <f t="shared" si="3"/>
        <v>15505.16</v>
      </c>
      <c r="I15" s="325">
        <f t="shared" si="3"/>
        <v>0</v>
      </c>
      <c r="J15" s="325">
        <f t="shared" si="3"/>
        <v>128870.91</v>
      </c>
      <c r="K15" s="325">
        <f t="shared" si="3"/>
        <v>0</v>
      </c>
      <c r="L15" s="325">
        <f t="shared" si="3"/>
        <v>0</v>
      </c>
      <c r="M15" s="325">
        <f t="shared" si="3"/>
        <v>0</v>
      </c>
      <c r="N15" s="325">
        <f t="shared" ref="N15:O15" si="4">N16+N17</f>
        <v>0</v>
      </c>
      <c r="O15" s="325">
        <f t="shared" si="4"/>
        <v>0</v>
      </c>
      <c r="P15" s="270">
        <f t="shared" si="2"/>
        <v>45.117521875000001</v>
      </c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>
      <c r="A16" s="502"/>
      <c r="B16" s="144" t="s">
        <v>66</v>
      </c>
      <c r="C16" s="173" t="s">
        <v>67</v>
      </c>
      <c r="D16" s="326">
        <v>270000</v>
      </c>
      <c r="E16" s="326">
        <v>128870.91</v>
      </c>
      <c r="F16" s="326">
        <v>128870.91</v>
      </c>
      <c r="G16" s="326">
        <v>0</v>
      </c>
      <c r="H16" s="326">
        <v>0</v>
      </c>
      <c r="I16" s="326">
        <v>0</v>
      </c>
      <c r="J16" s="326">
        <f>F16</f>
        <v>128870.91</v>
      </c>
      <c r="K16" s="326">
        <v>0</v>
      </c>
      <c r="L16" s="326">
        <v>0</v>
      </c>
      <c r="M16" s="326">
        <v>0</v>
      </c>
      <c r="N16" s="326">
        <v>0</v>
      </c>
      <c r="O16" s="326">
        <v>0</v>
      </c>
      <c r="P16" s="270">
        <f t="shared" si="2"/>
        <v>47.72996666666667</v>
      </c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1:35">
      <c r="A17" s="503"/>
      <c r="B17" s="144" t="s">
        <v>101</v>
      </c>
      <c r="C17" s="320" t="s">
        <v>102</v>
      </c>
      <c r="D17" s="326">
        <v>50000</v>
      </c>
      <c r="E17" s="326">
        <v>15505.16</v>
      </c>
      <c r="F17" s="326">
        <v>15505.16</v>
      </c>
      <c r="G17" s="326">
        <v>0</v>
      </c>
      <c r="H17" s="326">
        <f>F17</f>
        <v>15505.16</v>
      </c>
      <c r="I17" s="326">
        <v>0</v>
      </c>
      <c r="J17" s="326">
        <v>0</v>
      </c>
      <c r="K17" s="326">
        <v>0</v>
      </c>
      <c r="L17" s="326">
        <v>0</v>
      </c>
      <c r="M17" s="326">
        <v>0</v>
      </c>
      <c r="N17" s="326">
        <v>0</v>
      </c>
      <c r="O17" s="326">
        <v>0</v>
      </c>
      <c r="P17" s="270">
        <f t="shared" si="2"/>
        <v>31.010320000000004</v>
      </c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1:35" s="4" customFormat="1">
      <c r="A18" s="184">
        <v>600</v>
      </c>
      <c r="B18" s="185"/>
      <c r="C18" s="322" t="s">
        <v>69</v>
      </c>
      <c r="D18" s="325">
        <f>D19</f>
        <v>2392731.08</v>
      </c>
      <c r="E18" s="325">
        <f t="shared" ref="E18:N18" si="5">E19</f>
        <v>1115202.4300000002</v>
      </c>
      <c r="F18" s="325">
        <f t="shared" si="5"/>
        <v>1115202.4300000002</v>
      </c>
      <c r="G18" s="325">
        <f t="shared" si="5"/>
        <v>564094.55999999994</v>
      </c>
      <c r="H18" s="325">
        <f t="shared" si="5"/>
        <v>542849.12000000023</v>
      </c>
      <c r="I18" s="325">
        <f t="shared" si="5"/>
        <v>0</v>
      </c>
      <c r="J18" s="325">
        <f t="shared" si="5"/>
        <v>8258.75</v>
      </c>
      <c r="K18" s="325">
        <f t="shared" si="5"/>
        <v>0</v>
      </c>
      <c r="L18" s="325">
        <f t="shared" si="5"/>
        <v>0</v>
      </c>
      <c r="M18" s="325">
        <f t="shared" si="5"/>
        <v>0</v>
      </c>
      <c r="N18" s="325">
        <f t="shared" si="5"/>
        <v>0</v>
      </c>
      <c r="O18" s="325">
        <f>O19</f>
        <v>0</v>
      </c>
      <c r="P18" s="270">
        <f t="shared" si="2"/>
        <v>46.607930131454644</v>
      </c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1:35">
      <c r="A19" s="360"/>
      <c r="B19" s="144">
        <v>60014</v>
      </c>
      <c r="C19" s="320" t="s">
        <v>39</v>
      </c>
      <c r="D19" s="326">
        <v>2392731.08</v>
      </c>
      <c r="E19" s="326">
        <f>1115084.35+118.08</f>
        <v>1115202.4300000002</v>
      </c>
      <c r="F19" s="326">
        <f>1115084.35+118.08</f>
        <v>1115202.4300000002</v>
      </c>
      <c r="G19" s="326">
        <f>414637.04+64102.91+76418.94+7935.67+1000</f>
        <v>564094.55999999994</v>
      </c>
      <c r="H19" s="326">
        <f>F19-G19-J19</f>
        <v>542849.12000000023</v>
      </c>
      <c r="I19" s="326">
        <v>0</v>
      </c>
      <c r="J19" s="326">
        <v>8258.75</v>
      </c>
      <c r="K19" s="326">
        <v>0</v>
      </c>
      <c r="L19" s="326">
        <v>0</v>
      </c>
      <c r="M19" s="326">
        <v>0</v>
      </c>
      <c r="N19" s="326">
        <v>0</v>
      </c>
      <c r="O19" s="326">
        <v>0</v>
      </c>
      <c r="P19" s="270">
        <f t="shared" si="2"/>
        <v>46.607930131454644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1:35" s="4" customFormat="1">
      <c r="A20" s="184">
        <v>700</v>
      </c>
      <c r="B20" s="185"/>
      <c r="C20" s="322" t="s">
        <v>29</v>
      </c>
      <c r="D20" s="325">
        <f>D21</f>
        <v>204000</v>
      </c>
      <c r="E20" s="325">
        <f t="shared" ref="E20:O20" si="6">E21</f>
        <v>94025.15</v>
      </c>
      <c r="F20" s="325">
        <f t="shared" si="6"/>
        <v>94025.15</v>
      </c>
      <c r="G20" s="325">
        <f>115.17+670</f>
        <v>785.17</v>
      </c>
      <c r="H20" s="325">
        <f t="shared" si="6"/>
        <v>93239.98</v>
      </c>
      <c r="I20" s="325">
        <f t="shared" si="6"/>
        <v>0</v>
      </c>
      <c r="J20" s="325">
        <f t="shared" si="6"/>
        <v>0</v>
      </c>
      <c r="K20" s="325">
        <f t="shared" si="6"/>
        <v>0</v>
      </c>
      <c r="L20" s="325">
        <f t="shared" si="6"/>
        <v>0</v>
      </c>
      <c r="M20" s="325">
        <f t="shared" si="6"/>
        <v>0</v>
      </c>
      <c r="N20" s="325">
        <f t="shared" si="6"/>
        <v>0</v>
      </c>
      <c r="O20" s="325">
        <f t="shared" si="6"/>
        <v>0</v>
      </c>
      <c r="P20" s="270">
        <f t="shared" si="2"/>
        <v>46.090759803921564</v>
      </c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1:35" ht="12.75" customHeight="1">
      <c r="A21" s="195" t="s">
        <v>12</v>
      </c>
      <c r="B21" s="177">
        <v>70005</v>
      </c>
      <c r="C21" s="320" t="s">
        <v>70</v>
      </c>
      <c r="D21" s="326">
        <v>204000</v>
      </c>
      <c r="E21" s="326">
        <v>94025.15</v>
      </c>
      <c r="F21" s="326">
        <f>E21-M21</f>
        <v>94025.15</v>
      </c>
      <c r="G21" s="326">
        <f>115.17+670</f>
        <v>785.17</v>
      </c>
      <c r="H21" s="326">
        <f>F21-G21</f>
        <v>93239.98</v>
      </c>
      <c r="I21" s="326">
        <v>0</v>
      </c>
      <c r="J21" s="326">
        <v>0</v>
      </c>
      <c r="K21" s="326">
        <v>0</v>
      </c>
      <c r="L21" s="326">
        <v>0</v>
      </c>
      <c r="M21" s="326">
        <v>0</v>
      </c>
      <c r="N21" s="326">
        <v>0</v>
      </c>
      <c r="O21" s="326">
        <v>0</v>
      </c>
      <c r="P21" s="270">
        <f t="shared" si="2"/>
        <v>46.090759803921564</v>
      </c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1:35" s="4" customFormat="1">
      <c r="A22" s="184">
        <v>710</v>
      </c>
      <c r="B22" s="184"/>
      <c r="C22" s="322" t="s">
        <v>103</v>
      </c>
      <c r="D22" s="325">
        <f>D23+D24+D25</f>
        <v>425121.68</v>
      </c>
      <c r="E22" s="325">
        <f t="shared" ref="E22:M22" si="7">E23+E24+E25</f>
        <v>164757.63</v>
      </c>
      <c r="F22" s="325">
        <f t="shared" si="7"/>
        <v>164757.63</v>
      </c>
      <c r="G22" s="325">
        <f t="shared" si="7"/>
        <v>127726.41</v>
      </c>
      <c r="H22" s="325">
        <f t="shared" si="7"/>
        <v>30609.540000000008</v>
      </c>
      <c r="I22" s="325">
        <f t="shared" si="7"/>
        <v>6421.68</v>
      </c>
      <c r="J22" s="325">
        <f t="shared" si="7"/>
        <v>0</v>
      </c>
      <c r="K22" s="325">
        <f t="shared" si="7"/>
        <v>0</v>
      </c>
      <c r="L22" s="325">
        <f t="shared" si="7"/>
        <v>0</v>
      </c>
      <c r="M22" s="325">
        <f t="shared" si="7"/>
        <v>0</v>
      </c>
      <c r="N22" s="325">
        <f t="shared" ref="N22:O22" si="8">N23+N24+N25</f>
        <v>0</v>
      </c>
      <c r="O22" s="325">
        <f t="shared" si="8"/>
        <v>0</v>
      </c>
      <c r="P22" s="270">
        <f t="shared" si="2"/>
        <v>38.755405275967107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1:35">
      <c r="A23" s="509" t="s">
        <v>12</v>
      </c>
      <c r="B23" s="177">
        <v>71013</v>
      </c>
      <c r="C23" s="320" t="s">
        <v>104</v>
      </c>
      <c r="D23" s="326">
        <v>99000</v>
      </c>
      <c r="E23" s="326">
        <v>0</v>
      </c>
      <c r="F23" s="326">
        <v>0</v>
      </c>
      <c r="G23" s="326">
        <v>0</v>
      </c>
      <c r="H23" s="326">
        <v>0</v>
      </c>
      <c r="I23" s="326">
        <v>0</v>
      </c>
      <c r="J23" s="326">
        <v>0</v>
      </c>
      <c r="K23" s="326">
        <v>0</v>
      </c>
      <c r="L23" s="326">
        <v>0</v>
      </c>
      <c r="M23" s="326">
        <v>0</v>
      </c>
      <c r="N23" s="326">
        <v>0</v>
      </c>
      <c r="O23" s="326">
        <v>0</v>
      </c>
      <c r="P23" s="270">
        <f t="shared" si="2"/>
        <v>0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</row>
    <row r="24" spans="1:35" ht="12.75" customHeight="1">
      <c r="A24" s="509"/>
      <c r="B24" s="177">
        <v>71014</v>
      </c>
      <c r="C24" s="173" t="s">
        <v>72</v>
      </c>
      <c r="D24" s="326">
        <v>36421.68</v>
      </c>
      <c r="E24" s="326">
        <v>21646.68</v>
      </c>
      <c r="F24" s="326">
        <v>21646.68</v>
      </c>
      <c r="G24" s="326">
        <v>0</v>
      </c>
      <c r="H24" s="326">
        <f>21646.68-I24</f>
        <v>15225</v>
      </c>
      <c r="I24" s="326">
        <v>6421.68</v>
      </c>
      <c r="J24" s="326">
        <v>0</v>
      </c>
      <c r="K24" s="326">
        <v>0</v>
      </c>
      <c r="L24" s="326">
        <v>0</v>
      </c>
      <c r="M24" s="326">
        <v>0</v>
      </c>
      <c r="N24" s="326">
        <v>0</v>
      </c>
      <c r="O24" s="326">
        <v>0</v>
      </c>
      <c r="P24" s="270">
        <f t="shared" si="2"/>
        <v>59.433502243718571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1:35" ht="15" customHeight="1">
      <c r="A25" s="509"/>
      <c r="B25" s="177">
        <v>71015</v>
      </c>
      <c r="C25" s="173" t="s">
        <v>73</v>
      </c>
      <c r="D25" s="326">
        <v>289700</v>
      </c>
      <c r="E25" s="326">
        <v>143110.95000000001</v>
      </c>
      <c r="F25" s="326">
        <f>E25</f>
        <v>143110.95000000001</v>
      </c>
      <c r="G25" s="326">
        <f>32003.31+59466.32+15697.28+18407.45+2152.05</f>
        <v>127726.41</v>
      </c>
      <c r="H25" s="326">
        <f>F25-G25</f>
        <v>15384.540000000008</v>
      </c>
      <c r="I25" s="326">
        <v>0</v>
      </c>
      <c r="J25" s="326">
        <v>0</v>
      </c>
      <c r="K25" s="326">
        <v>0</v>
      </c>
      <c r="L25" s="326">
        <v>0</v>
      </c>
      <c r="M25" s="326">
        <v>0</v>
      </c>
      <c r="N25" s="326">
        <v>0</v>
      </c>
      <c r="O25" s="326">
        <v>0</v>
      </c>
      <c r="P25" s="270">
        <f t="shared" si="2"/>
        <v>49.399706593027275</v>
      </c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</row>
    <row r="26" spans="1:35" s="4" customFormat="1">
      <c r="A26" s="184">
        <v>750</v>
      </c>
      <c r="B26" s="184"/>
      <c r="C26" s="182" t="s">
        <v>31</v>
      </c>
      <c r="D26" s="325">
        <f>D27+D30+D28+D29+D32+D31</f>
        <v>6649970</v>
      </c>
      <c r="E26" s="325">
        <f t="shared" ref="E26:M26" si="9">E27+E30+E28+E29+E32+E31</f>
        <v>3154629.5599999996</v>
      </c>
      <c r="F26" s="325">
        <f t="shared" si="9"/>
        <v>3138024.5599999996</v>
      </c>
      <c r="G26" s="325">
        <f t="shared" si="9"/>
        <v>2142304.7200000002</v>
      </c>
      <c r="H26" s="325">
        <f t="shared" si="9"/>
        <v>894494.09999999963</v>
      </c>
      <c r="I26" s="325">
        <f t="shared" si="9"/>
        <v>0</v>
      </c>
      <c r="J26" s="325">
        <f t="shared" si="9"/>
        <v>101225.74</v>
      </c>
      <c r="K26" s="325">
        <f t="shared" si="9"/>
        <v>0</v>
      </c>
      <c r="L26" s="325">
        <f t="shared" si="9"/>
        <v>0</v>
      </c>
      <c r="M26" s="325">
        <f t="shared" si="9"/>
        <v>16605</v>
      </c>
      <c r="N26" s="325">
        <f t="shared" ref="N26:O26" si="10">N27+N30+N28+N29+N32+N31</f>
        <v>16605</v>
      </c>
      <c r="O26" s="325">
        <f t="shared" si="10"/>
        <v>0</v>
      </c>
      <c r="P26" s="270">
        <f t="shared" si="2"/>
        <v>47.438252503394743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1:35">
      <c r="A27" s="509" t="s">
        <v>12</v>
      </c>
      <c r="B27" s="177">
        <v>75011</v>
      </c>
      <c r="C27" s="173" t="s">
        <v>75</v>
      </c>
      <c r="D27" s="326">
        <v>104800</v>
      </c>
      <c r="E27" s="326">
        <v>57279</v>
      </c>
      <c r="F27" s="326">
        <v>57279</v>
      </c>
      <c r="G27" s="326">
        <f>F27</f>
        <v>57279</v>
      </c>
      <c r="H27" s="326">
        <v>0</v>
      </c>
      <c r="I27" s="326">
        <v>0</v>
      </c>
      <c r="J27" s="326">
        <v>0</v>
      </c>
      <c r="K27" s="326">
        <v>0</v>
      </c>
      <c r="L27" s="326">
        <v>0</v>
      </c>
      <c r="M27" s="326">
        <v>0</v>
      </c>
      <c r="N27" s="326">
        <v>0</v>
      </c>
      <c r="O27" s="326">
        <v>0</v>
      </c>
      <c r="P27" s="270">
        <f t="shared" si="2"/>
        <v>54.655534351145043</v>
      </c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</row>
    <row r="28" spans="1:35">
      <c r="A28" s="509"/>
      <c r="B28" s="177">
        <v>75019</v>
      </c>
      <c r="C28" s="173" t="s">
        <v>105</v>
      </c>
      <c r="D28" s="326">
        <v>221250</v>
      </c>
      <c r="E28" s="326">
        <v>100998.83</v>
      </c>
      <c r="F28" s="326">
        <v>100998.83</v>
      </c>
      <c r="G28" s="326">
        <v>0</v>
      </c>
      <c r="H28" s="326">
        <f>F28-J28</f>
        <v>4933.7200000000012</v>
      </c>
      <c r="I28" s="326">
        <v>0</v>
      </c>
      <c r="J28" s="326">
        <v>96065.11</v>
      </c>
      <c r="K28" s="326">
        <v>0</v>
      </c>
      <c r="L28" s="326">
        <v>0</v>
      </c>
      <c r="M28" s="326">
        <v>0</v>
      </c>
      <c r="N28" s="326">
        <v>0</v>
      </c>
      <c r="O28" s="326">
        <v>0</v>
      </c>
      <c r="P28" s="270">
        <f t="shared" si="2"/>
        <v>45.649188700564977</v>
      </c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</row>
    <row r="29" spans="1:35">
      <c r="A29" s="509"/>
      <c r="B29" s="218">
        <v>75020</v>
      </c>
      <c r="C29" s="219" t="s">
        <v>76</v>
      </c>
      <c r="D29" s="326">
        <v>5901574</v>
      </c>
      <c r="E29" s="326">
        <v>2698435.86</v>
      </c>
      <c r="F29" s="326">
        <f>E29-M29</f>
        <v>2681830.86</v>
      </c>
      <c r="G29" s="473">
        <f>1487852.19+248066.09+278914.32+33437.87+23364.17</f>
        <v>2071634.6400000001</v>
      </c>
      <c r="H29" s="326">
        <f>F29-G29-J29</f>
        <v>605035.58999999973</v>
      </c>
      <c r="I29" s="326">
        <v>0</v>
      </c>
      <c r="J29" s="326">
        <v>5160.63</v>
      </c>
      <c r="K29" s="326">
        <v>0</v>
      </c>
      <c r="L29" s="326">
        <v>0</v>
      </c>
      <c r="M29" s="326">
        <v>16605</v>
      </c>
      <c r="N29" s="326">
        <v>16605</v>
      </c>
      <c r="O29" s="326">
        <v>0</v>
      </c>
      <c r="P29" s="270">
        <f t="shared" si="2"/>
        <v>45.724002782986368</v>
      </c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</row>
    <row r="30" spans="1:35">
      <c r="A30" s="509"/>
      <c r="B30" s="177">
        <v>75045</v>
      </c>
      <c r="C30" s="173" t="s">
        <v>286</v>
      </c>
      <c r="D30" s="326">
        <v>20500</v>
      </c>
      <c r="E30" s="326">
        <v>17154.509999999998</v>
      </c>
      <c r="F30" s="326">
        <v>17154.509999999998</v>
      </c>
      <c r="G30" s="473">
        <f>11790</f>
        <v>11790</v>
      </c>
      <c r="H30" s="326">
        <f>F30-G30</f>
        <v>5364.5099999999984</v>
      </c>
      <c r="I30" s="326">
        <v>0</v>
      </c>
      <c r="J30" s="326">
        <v>0</v>
      </c>
      <c r="K30" s="326">
        <v>0</v>
      </c>
      <c r="L30" s="326">
        <v>0</v>
      </c>
      <c r="M30" s="326">
        <v>0</v>
      </c>
      <c r="N30" s="326">
        <v>0</v>
      </c>
      <c r="O30" s="326">
        <v>0</v>
      </c>
      <c r="P30" s="270">
        <f t="shared" si="2"/>
        <v>83.680536585365843</v>
      </c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</row>
    <row r="31" spans="1:35" ht="12.75" customHeight="1">
      <c r="A31" s="509"/>
      <c r="B31" s="177">
        <v>75075</v>
      </c>
      <c r="C31" s="173" t="s">
        <v>141</v>
      </c>
      <c r="D31" s="326">
        <v>110000</v>
      </c>
      <c r="E31" s="326">
        <f>34936.81</f>
        <v>34936.81</v>
      </c>
      <c r="F31" s="326">
        <v>34936.81</v>
      </c>
      <c r="G31" s="326">
        <f>151.9+24.5+1424.68</f>
        <v>1601.0800000000002</v>
      </c>
      <c r="H31" s="326">
        <f>F31-G31</f>
        <v>33335.729999999996</v>
      </c>
      <c r="I31" s="326">
        <v>0</v>
      </c>
      <c r="J31" s="326">
        <v>0</v>
      </c>
      <c r="K31" s="326">
        <v>0</v>
      </c>
      <c r="L31" s="326">
        <v>0</v>
      </c>
      <c r="M31" s="326">
        <v>0</v>
      </c>
      <c r="N31" s="326">
        <v>0</v>
      </c>
      <c r="O31" s="326">
        <v>0</v>
      </c>
      <c r="P31" s="270">
        <f t="shared" si="2"/>
        <v>31.760736363636362</v>
      </c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</row>
    <row r="32" spans="1:35">
      <c r="A32" s="509"/>
      <c r="B32" s="177">
        <v>75095</v>
      </c>
      <c r="C32" s="173" t="s">
        <v>74</v>
      </c>
      <c r="D32" s="326">
        <v>291846</v>
      </c>
      <c r="E32" s="326">
        <v>245824.55</v>
      </c>
      <c r="F32" s="326">
        <v>245824.55</v>
      </c>
      <c r="G32" s="326">
        <v>0</v>
      </c>
      <c r="H32" s="326">
        <f>F32</f>
        <v>245824.55</v>
      </c>
      <c r="I32" s="326">
        <v>0</v>
      </c>
      <c r="J32" s="326">
        <v>0</v>
      </c>
      <c r="K32" s="326">
        <v>0</v>
      </c>
      <c r="L32" s="326">
        <v>0</v>
      </c>
      <c r="M32" s="326">
        <v>0</v>
      </c>
      <c r="N32" s="326">
        <v>0</v>
      </c>
      <c r="O32" s="326">
        <v>0</v>
      </c>
      <c r="P32" s="270">
        <f t="shared" si="2"/>
        <v>84.230912878710001</v>
      </c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</row>
    <row r="33" spans="1:35" s="4" customFormat="1" ht="24" customHeight="1">
      <c r="A33" s="184">
        <v>754</v>
      </c>
      <c r="B33" s="184"/>
      <c r="C33" s="182" t="s">
        <v>32</v>
      </c>
      <c r="D33" s="325">
        <f>D36+D38+D35+D34+D37</f>
        <v>3123298.33</v>
      </c>
      <c r="E33" s="325">
        <f>E36+E38+E35+E34+E37</f>
        <v>1516265.6500000001</v>
      </c>
      <c r="F33" s="325">
        <f>F36+F38+F35+F34+F37</f>
        <v>1516265.6500000001</v>
      </c>
      <c r="G33" s="325">
        <f t="shared" ref="G33:M33" si="11">G36+G38+G35+G34</f>
        <v>1246534.32</v>
      </c>
      <c r="H33" s="325">
        <f t="shared" si="11"/>
        <v>213469.61000000007</v>
      </c>
      <c r="I33" s="325">
        <f>I36+I38+I35+I34+I37</f>
        <v>10000</v>
      </c>
      <c r="J33" s="325">
        <f t="shared" si="11"/>
        <v>46261.72</v>
      </c>
      <c r="K33" s="325">
        <f t="shared" si="11"/>
        <v>0</v>
      </c>
      <c r="L33" s="325">
        <f t="shared" si="11"/>
        <v>0</v>
      </c>
      <c r="M33" s="325">
        <f t="shared" si="11"/>
        <v>0</v>
      </c>
      <c r="N33" s="325">
        <f t="shared" ref="N33:O33" si="12">N36+N38+N35+N34</f>
        <v>0</v>
      </c>
      <c r="O33" s="325">
        <f t="shared" si="12"/>
        <v>0</v>
      </c>
      <c r="P33" s="270">
        <f t="shared" si="2"/>
        <v>48.546936276817334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1:35" s="5" customFormat="1" ht="12" customHeight="1">
      <c r="A34" s="502"/>
      <c r="B34" s="282">
        <v>75405</v>
      </c>
      <c r="C34" s="173" t="s">
        <v>301</v>
      </c>
      <c r="D34" s="326">
        <v>5000</v>
      </c>
      <c r="E34" s="326">
        <v>5000</v>
      </c>
      <c r="F34" s="326">
        <v>5000</v>
      </c>
      <c r="G34" s="326">
        <v>0</v>
      </c>
      <c r="H34" s="326">
        <v>0</v>
      </c>
      <c r="I34" s="326">
        <v>5000</v>
      </c>
      <c r="J34" s="326">
        <v>0</v>
      </c>
      <c r="K34" s="326">
        <v>0</v>
      </c>
      <c r="L34" s="326">
        <v>0</v>
      </c>
      <c r="M34" s="326">
        <v>0</v>
      </c>
      <c r="N34" s="326">
        <v>0</v>
      </c>
      <c r="O34" s="326">
        <v>0</v>
      </c>
      <c r="P34" s="270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5" s="4" customFormat="1">
      <c r="A35" s="503"/>
      <c r="B35" s="186">
        <v>75406</v>
      </c>
      <c r="C35" s="183" t="s">
        <v>195</v>
      </c>
      <c r="D35" s="326">
        <v>3000</v>
      </c>
      <c r="E35" s="326">
        <v>0</v>
      </c>
      <c r="F35" s="326">
        <v>0</v>
      </c>
      <c r="G35" s="326">
        <v>0</v>
      </c>
      <c r="H35" s="326">
        <v>0</v>
      </c>
      <c r="I35" s="326">
        <f>F35</f>
        <v>0</v>
      </c>
      <c r="J35" s="326">
        <v>0</v>
      </c>
      <c r="K35" s="326">
        <v>0</v>
      </c>
      <c r="L35" s="326">
        <v>0</v>
      </c>
      <c r="M35" s="326">
        <v>0</v>
      </c>
      <c r="N35" s="326">
        <v>0</v>
      </c>
      <c r="O35" s="326">
        <v>0</v>
      </c>
      <c r="P35" s="270">
        <f t="shared" si="2"/>
        <v>0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1:35">
      <c r="A36" s="503"/>
      <c r="B36" s="177">
        <v>75411</v>
      </c>
      <c r="C36" s="173" t="s">
        <v>108</v>
      </c>
      <c r="D36" s="326">
        <v>2984200</v>
      </c>
      <c r="E36" s="326">
        <f>1505781.36+484.29</f>
        <v>1506265.6500000001</v>
      </c>
      <c r="F36" s="326">
        <f>1505781.36+484.29</f>
        <v>1506265.6500000001</v>
      </c>
      <c r="G36" s="326">
        <f>33022.44+5577.16+970217.82+72651.09+154136.58+7211.55+945.68+2772</f>
        <v>1246534.32</v>
      </c>
      <c r="H36" s="326">
        <f>F36-G36-J36</f>
        <v>213469.61000000007</v>
      </c>
      <c r="I36" s="326">
        <v>0</v>
      </c>
      <c r="J36" s="326">
        <v>46261.72</v>
      </c>
      <c r="K36" s="326">
        <v>0</v>
      </c>
      <c r="L36" s="326">
        <v>0</v>
      </c>
      <c r="M36" s="326">
        <v>0</v>
      </c>
      <c r="N36" s="326">
        <v>0</v>
      </c>
      <c r="O36" s="326">
        <v>0</v>
      </c>
      <c r="P36" s="270">
        <f t="shared" si="2"/>
        <v>50.4746883586891</v>
      </c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</row>
    <row r="37" spans="1:35">
      <c r="A37" s="503"/>
      <c r="B37" s="373">
        <v>75412</v>
      </c>
      <c r="C37" s="173" t="s">
        <v>400</v>
      </c>
      <c r="D37" s="326">
        <v>5000</v>
      </c>
      <c r="E37" s="326">
        <v>5000</v>
      </c>
      <c r="F37" s="326">
        <v>5000</v>
      </c>
      <c r="G37" s="326">
        <v>0</v>
      </c>
      <c r="H37" s="326">
        <v>0</v>
      </c>
      <c r="I37" s="326">
        <v>5000</v>
      </c>
      <c r="J37" s="326">
        <v>0</v>
      </c>
      <c r="K37" s="326">
        <v>0</v>
      </c>
      <c r="L37" s="326">
        <v>0</v>
      </c>
      <c r="M37" s="326">
        <v>0</v>
      </c>
      <c r="N37" s="326">
        <v>0</v>
      </c>
      <c r="O37" s="326">
        <v>0</v>
      </c>
      <c r="P37" s="270">
        <f t="shared" si="2"/>
        <v>100</v>
      </c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</row>
    <row r="38" spans="1:35">
      <c r="A38" s="504"/>
      <c r="B38" s="177">
        <v>75421</v>
      </c>
      <c r="C38" s="173" t="s">
        <v>164</v>
      </c>
      <c r="D38" s="326">
        <v>126098.33</v>
      </c>
      <c r="E38" s="326">
        <v>0</v>
      </c>
      <c r="F38" s="326">
        <v>0</v>
      </c>
      <c r="G38" s="326">
        <v>0</v>
      </c>
      <c r="H38" s="326">
        <f>F38</f>
        <v>0</v>
      </c>
      <c r="I38" s="326">
        <v>0</v>
      </c>
      <c r="J38" s="326">
        <v>0</v>
      </c>
      <c r="K38" s="326">
        <v>0</v>
      </c>
      <c r="L38" s="326">
        <v>0</v>
      </c>
      <c r="M38" s="326">
        <v>0</v>
      </c>
      <c r="N38" s="326">
        <v>0</v>
      </c>
      <c r="O38" s="326">
        <v>0</v>
      </c>
      <c r="P38" s="270">
        <f t="shared" si="2"/>
        <v>0</v>
      </c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</row>
    <row r="39" spans="1:35" s="4" customFormat="1">
      <c r="A39" s="184">
        <v>757</v>
      </c>
      <c r="B39" s="184"/>
      <c r="C39" s="182" t="s">
        <v>109</v>
      </c>
      <c r="D39" s="325">
        <f>D40</f>
        <v>1480000</v>
      </c>
      <c r="E39" s="325">
        <f>E40</f>
        <v>707797.79</v>
      </c>
      <c r="F39" s="325">
        <f>F40</f>
        <v>707797.79</v>
      </c>
      <c r="G39" s="325">
        <v>0</v>
      </c>
      <c r="H39" s="325">
        <v>0</v>
      </c>
      <c r="I39" s="325">
        <v>0</v>
      </c>
      <c r="J39" s="325">
        <v>0</v>
      </c>
      <c r="K39" s="325">
        <v>0</v>
      </c>
      <c r="L39" s="325">
        <f>L40</f>
        <v>707797.79</v>
      </c>
      <c r="M39" s="326">
        <v>0</v>
      </c>
      <c r="N39" s="326">
        <v>0</v>
      </c>
      <c r="O39" s="326">
        <v>0</v>
      </c>
      <c r="P39" s="270">
        <f t="shared" si="2"/>
        <v>47.824175000000004</v>
      </c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</row>
    <row r="40" spans="1:35" ht="23.25" customHeight="1">
      <c r="A40" s="177"/>
      <c r="B40" s="177">
        <v>75702</v>
      </c>
      <c r="C40" s="173" t="s">
        <v>145</v>
      </c>
      <c r="D40" s="326">
        <v>1480000</v>
      </c>
      <c r="E40" s="326">
        <v>707797.79</v>
      </c>
      <c r="F40" s="326">
        <f>E40</f>
        <v>707797.79</v>
      </c>
      <c r="G40" s="326">
        <v>0</v>
      </c>
      <c r="H40" s="326">
        <v>0</v>
      </c>
      <c r="I40" s="326">
        <v>0</v>
      </c>
      <c r="J40" s="326">
        <v>0</v>
      </c>
      <c r="K40" s="326">
        <v>0</v>
      </c>
      <c r="L40" s="326">
        <f>F40</f>
        <v>707797.79</v>
      </c>
      <c r="M40" s="326">
        <v>0</v>
      </c>
      <c r="N40" s="326">
        <v>0</v>
      </c>
      <c r="O40" s="326">
        <v>0</v>
      </c>
      <c r="P40" s="270">
        <f t="shared" si="2"/>
        <v>47.824175000000004</v>
      </c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</row>
    <row r="41" spans="1:35" s="41" customFormat="1" ht="12" customHeight="1">
      <c r="A41" s="285">
        <v>758</v>
      </c>
      <c r="B41" s="285"/>
      <c r="C41" s="182" t="s">
        <v>33</v>
      </c>
      <c r="D41" s="325">
        <f>D42</f>
        <v>5832.32</v>
      </c>
      <c r="E41" s="325">
        <v>0</v>
      </c>
      <c r="F41" s="325">
        <f>F42</f>
        <v>0</v>
      </c>
      <c r="G41" s="325">
        <f t="shared" ref="G41:O41" si="13">G42</f>
        <v>0</v>
      </c>
      <c r="H41" s="325">
        <f t="shared" si="13"/>
        <v>0</v>
      </c>
      <c r="I41" s="325">
        <f t="shared" si="13"/>
        <v>0</v>
      </c>
      <c r="J41" s="325">
        <f t="shared" si="13"/>
        <v>0</v>
      </c>
      <c r="K41" s="325">
        <f t="shared" si="13"/>
        <v>0</v>
      </c>
      <c r="L41" s="325">
        <f t="shared" si="13"/>
        <v>0</v>
      </c>
      <c r="M41" s="325">
        <f t="shared" si="13"/>
        <v>0</v>
      </c>
      <c r="N41" s="325">
        <f t="shared" si="13"/>
        <v>0</v>
      </c>
      <c r="O41" s="325">
        <f t="shared" si="13"/>
        <v>0</v>
      </c>
      <c r="P41" s="270">
        <f t="shared" si="2"/>
        <v>0</v>
      </c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 ht="12.75" customHeight="1">
      <c r="A42" s="282"/>
      <c r="B42" s="282">
        <v>75818</v>
      </c>
      <c r="C42" s="173" t="s">
        <v>300</v>
      </c>
      <c r="D42" s="326">
        <v>5832.32</v>
      </c>
      <c r="E42" s="326">
        <v>0</v>
      </c>
      <c r="F42" s="326">
        <v>0</v>
      </c>
      <c r="G42" s="326">
        <v>0</v>
      </c>
      <c r="H42" s="326">
        <v>0</v>
      </c>
      <c r="I42" s="326">
        <v>0</v>
      </c>
      <c r="J42" s="326">
        <v>0</v>
      </c>
      <c r="K42" s="326">
        <v>0</v>
      </c>
      <c r="L42" s="326">
        <v>0</v>
      </c>
      <c r="M42" s="326">
        <v>0</v>
      </c>
      <c r="N42" s="326">
        <v>0</v>
      </c>
      <c r="O42" s="326">
        <v>0</v>
      </c>
      <c r="P42" s="270">
        <f t="shared" si="2"/>
        <v>0</v>
      </c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</row>
    <row r="43" spans="1:35" s="4" customFormat="1">
      <c r="A43" s="184">
        <v>801</v>
      </c>
      <c r="B43" s="184"/>
      <c r="C43" s="182" t="s">
        <v>54</v>
      </c>
      <c r="D43" s="325">
        <f>SUM(D44:D53)</f>
        <v>14479937.41</v>
      </c>
      <c r="E43" s="325">
        <f t="shared" ref="E43:M43" si="14">SUM(E44:E53)</f>
        <v>7601326.6900000013</v>
      </c>
      <c r="F43" s="325">
        <f t="shared" si="14"/>
        <v>7595791.6900000013</v>
      </c>
      <c r="G43" s="325">
        <f t="shared" si="14"/>
        <v>5409327.3700000001</v>
      </c>
      <c r="H43" s="325">
        <f t="shared" si="14"/>
        <v>1109040.78</v>
      </c>
      <c r="I43" s="325">
        <f t="shared" si="14"/>
        <v>1000183.29</v>
      </c>
      <c r="J43" s="325">
        <f t="shared" si="14"/>
        <v>77240.25</v>
      </c>
      <c r="K43" s="325">
        <f t="shared" si="14"/>
        <v>0</v>
      </c>
      <c r="L43" s="325">
        <f t="shared" si="14"/>
        <v>0</v>
      </c>
      <c r="M43" s="325">
        <f t="shared" si="14"/>
        <v>5535</v>
      </c>
      <c r="N43" s="325">
        <f t="shared" ref="N43:O43" si="15">SUM(N44:N53)</f>
        <v>5535</v>
      </c>
      <c r="O43" s="325">
        <f t="shared" si="15"/>
        <v>0</v>
      </c>
      <c r="P43" s="270">
        <f t="shared" si="2"/>
        <v>52.495576981917367</v>
      </c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</row>
    <row r="44" spans="1:35">
      <c r="A44" s="502"/>
      <c r="B44" s="177">
        <v>80102</v>
      </c>
      <c r="C44" s="173" t="s">
        <v>41</v>
      </c>
      <c r="D44" s="326">
        <v>1263351.8500000001</v>
      </c>
      <c r="E44" s="326">
        <v>741172.72</v>
      </c>
      <c r="F44" s="326">
        <f>E44</f>
        <v>741172.72</v>
      </c>
      <c r="G44" s="473">
        <f>464893.27+76548.37+89120.5+12166.93+717.65</f>
        <v>643446.72000000009</v>
      </c>
      <c r="H44" s="326">
        <f>F44-G44-J44</f>
        <v>97725.999999999884</v>
      </c>
      <c r="I44" s="326">
        <v>0</v>
      </c>
      <c r="J44" s="326">
        <v>0</v>
      </c>
      <c r="K44" s="326">
        <v>0</v>
      </c>
      <c r="L44" s="326">
        <v>0</v>
      </c>
      <c r="M44" s="326">
        <v>0</v>
      </c>
      <c r="N44" s="326">
        <v>0</v>
      </c>
      <c r="O44" s="326">
        <v>0</v>
      </c>
      <c r="P44" s="270">
        <f t="shared" si="2"/>
        <v>58.667165445635746</v>
      </c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</row>
    <row r="45" spans="1:35">
      <c r="A45" s="503"/>
      <c r="B45" s="177">
        <v>80111</v>
      </c>
      <c r="C45" s="173" t="s">
        <v>111</v>
      </c>
      <c r="D45" s="326">
        <v>984653.13</v>
      </c>
      <c r="E45" s="326">
        <f>270391.16+242447.19+463.11</f>
        <v>513301.45999999996</v>
      </c>
      <c r="F45" s="326">
        <f>E45-M45</f>
        <v>513301.45999999996</v>
      </c>
      <c r="G45" s="473">
        <f>188138.18+29662.96+29504.71+3646.81+151297.34+24560.21+31353.49+2317.23</f>
        <v>460480.93</v>
      </c>
      <c r="H45" s="326">
        <f>F45-G45-J45</f>
        <v>36282.869999999966</v>
      </c>
      <c r="I45" s="326">
        <v>0</v>
      </c>
      <c r="J45" s="326">
        <v>16537.66</v>
      </c>
      <c r="K45" s="326">
        <v>0</v>
      </c>
      <c r="L45" s="326">
        <v>0</v>
      </c>
      <c r="M45" s="326">
        <v>0</v>
      </c>
      <c r="N45" s="326">
        <v>0</v>
      </c>
      <c r="O45" s="326">
        <v>0</v>
      </c>
      <c r="P45" s="270">
        <f t="shared" si="2"/>
        <v>52.130181112611709</v>
      </c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</row>
    <row r="46" spans="1:35">
      <c r="A46" s="503"/>
      <c r="B46" s="177">
        <v>80120</v>
      </c>
      <c r="C46" s="173" t="s">
        <v>47</v>
      </c>
      <c r="D46" s="326">
        <v>5682250.2400000002</v>
      </c>
      <c r="E46" s="326">
        <f>1346218.05+758052.84+215734.75+589518.4+463.12+5535</f>
        <v>2915522.16</v>
      </c>
      <c r="F46" s="326">
        <f>E46-M46</f>
        <v>2909987.16</v>
      </c>
      <c r="G46" s="326">
        <f>827976.04+126595.77+133621.87+15889.02+431869.71+69718.46+83220.36+9385.39+6424+127206.86+20013.03+23368.69+2692.38+73.44</f>
        <v>1878055.02</v>
      </c>
      <c r="H46" s="326">
        <f>F46-G46-I46-J46</f>
        <v>403654.21000000008</v>
      </c>
      <c r="I46" s="326">
        <v>589518.4</v>
      </c>
      <c r="J46" s="326">
        <f>2771.93+35987.6</f>
        <v>38759.53</v>
      </c>
      <c r="K46" s="326">
        <v>0</v>
      </c>
      <c r="L46" s="326">
        <v>0</v>
      </c>
      <c r="M46" s="326">
        <v>5535</v>
      </c>
      <c r="N46" s="326">
        <v>5535</v>
      </c>
      <c r="O46" s="326">
        <v>0</v>
      </c>
      <c r="P46" s="270">
        <f t="shared" si="2"/>
        <v>51.309288342781613</v>
      </c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</row>
    <row r="47" spans="1:35">
      <c r="A47" s="503"/>
      <c r="B47" s="177">
        <v>80123</v>
      </c>
      <c r="C47" s="173" t="s">
        <v>42</v>
      </c>
      <c r="D47" s="473">
        <v>226684.79999999999</v>
      </c>
      <c r="E47" s="473">
        <v>114765.35</v>
      </c>
      <c r="F47" s="473">
        <f>E47</f>
        <v>114765.35</v>
      </c>
      <c r="G47" s="326">
        <v>0</v>
      </c>
      <c r="H47" s="326">
        <v>0</v>
      </c>
      <c r="I47" s="326">
        <v>114765.35</v>
      </c>
      <c r="J47" s="326">
        <v>0</v>
      </c>
      <c r="K47" s="326">
        <v>0</v>
      </c>
      <c r="L47" s="326">
        <v>0</v>
      </c>
      <c r="M47" s="326">
        <v>0</v>
      </c>
      <c r="N47" s="326">
        <v>0</v>
      </c>
      <c r="O47" s="326">
        <v>0</v>
      </c>
      <c r="P47" s="270">
        <f t="shared" si="2"/>
        <v>50.627721841076244</v>
      </c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</row>
    <row r="48" spans="1:35">
      <c r="A48" s="503"/>
      <c r="B48" s="177">
        <v>80130</v>
      </c>
      <c r="C48" s="173" t="s">
        <v>43</v>
      </c>
      <c r="D48" s="473">
        <v>5279779.82</v>
      </c>
      <c r="E48" s="473">
        <f>2286557.81+249168.96+173891.65+235805.64+926.24</f>
        <v>2946350.3000000003</v>
      </c>
      <c r="F48" s="473">
        <f>E48-M48</f>
        <v>2946350.3000000003</v>
      </c>
      <c r="G48" s="473">
        <f>1458914.02+224783.74+274084.07+29505.49+3300.53+124680.26+19890+23206.27+2697.62+95405.23+15009.79+17526.56+2019.33+55.08</f>
        <v>2291077.9900000002</v>
      </c>
      <c r="H48" s="326">
        <f>F48-G48-I48-J48</f>
        <v>399059.61000000004</v>
      </c>
      <c r="I48" s="326">
        <v>235805.64</v>
      </c>
      <c r="J48" s="326">
        <f>2172.21+16686.85+1548</f>
        <v>20407.059999999998</v>
      </c>
      <c r="K48" s="326">
        <v>0</v>
      </c>
      <c r="L48" s="326">
        <v>0</v>
      </c>
      <c r="M48" s="326">
        <v>0</v>
      </c>
      <c r="N48" s="326">
        <v>0</v>
      </c>
      <c r="O48" s="326">
        <v>0</v>
      </c>
      <c r="P48" s="270">
        <f t="shared" si="2"/>
        <v>55.804416101579022</v>
      </c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</row>
    <row r="49" spans="1:35">
      <c r="A49" s="503"/>
      <c r="B49" s="177">
        <v>80140</v>
      </c>
      <c r="C49" s="173" t="s">
        <v>433</v>
      </c>
      <c r="D49" s="473">
        <v>208431</v>
      </c>
      <c r="E49" s="473">
        <v>118603.94</v>
      </c>
      <c r="F49" s="473">
        <f>E49</f>
        <v>118603.94</v>
      </c>
      <c r="G49" s="473">
        <f>27921.76+4262.51+4533.94+655.31+6182.82</f>
        <v>43556.34</v>
      </c>
      <c r="H49" s="326">
        <f>F49-G49-J49</f>
        <v>75002.600000000006</v>
      </c>
      <c r="I49" s="326">
        <v>0</v>
      </c>
      <c r="J49" s="326">
        <v>45</v>
      </c>
      <c r="K49" s="326">
        <v>0</v>
      </c>
      <c r="L49" s="326">
        <v>0</v>
      </c>
      <c r="M49" s="326">
        <v>0</v>
      </c>
      <c r="N49" s="326">
        <v>0</v>
      </c>
      <c r="O49" s="326">
        <v>0</v>
      </c>
      <c r="P49" s="270">
        <f t="shared" si="2"/>
        <v>56.903214972820749</v>
      </c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</row>
    <row r="50" spans="1:35">
      <c r="A50" s="503"/>
      <c r="B50" s="177">
        <v>80144</v>
      </c>
      <c r="C50" s="173" t="s">
        <v>196</v>
      </c>
      <c r="D50" s="473">
        <v>285856.5</v>
      </c>
      <c r="E50" s="473">
        <f>47392.83+60093.9</f>
        <v>107486.73000000001</v>
      </c>
      <c r="F50" s="473">
        <f>E50</f>
        <v>107486.73000000001</v>
      </c>
      <c r="G50" s="326">
        <f>35398.64+1448.19+5526.91+700.59</f>
        <v>43074.33</v>
      </c>
      <c r="H50" s="326">
        <f>F50-G50-I50</f>
        <v>4318.5000000000073</v>
      </c>
      <c r="I50" s="326">
        <v>60093.9</v>
      </c>
      <c r="J50" s="326">
        <v>0</v>
      </c>
      <c r="K50" s="326">
        <v>0</v>
      </c>
      <c r="L50" s="326">
        <v>0</v>
      </c>
      <c r="M50" s="326">
        <v>0</v>
      </c>
      <c r="N50" s="326">
        <v>0</v>
      </c>
      <c r="O50" s="326">
        <v>0</v>
      </c>
      <c r="P50" s="270">
        <f t="shared" si="2"/>
        <v>37.601639284046371</v>
      </c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</row>
    <row r="51" spans="1:35" ht="12.75" customHeight="1">
      <c r="A51" s="503"/>
      <c r="B51" s="177">
        <v>80146</v>
      </c>
      <c r="C51" s="173" t="s">
        <v>84</v>
      </c>
      <c r="D51" s="326">
        <v>70145.25</v>
      </c>
      <c r="E51" s="326">
        <f>4215+1250.7+4658.69+3229.8+350.15+2108.7</f>
        <v>15813.039999999997</v>
      </c>
      <c r="F51" s="326">
        <f>E51</f>
        <v>15813.039999999997</v>
      </c>
      <c r="G51" s="326"/>
      <c r="H51" s="326">
        <f>F51-J51</f>
        <v>15813.039999999997</v>
      </c>
      <c r="I51" s="326">
        <v>0</v>
      </c>
      <c r="J51" s="326">
        <v>0</v>
      </c>
      <c r="K51" s="326">
        <v>0</v>
      </c>
      <c r="L51" s="326">
        <v>0</v>
      </c>
      <c r="M51" s="326">
        <v>0</v>
      </c>
      <c r="N51" s="326">
        <v>0</v>
      </c>
      <c r="O51" s="326">
        <v>0</v>
      </c>
      <c r="P51" s="270">
        <f t="shared" si="2"/>
        <v>22.543279837194959</v>
      </c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</row>
    <row r="52" spans="1:35" ht="12.75" customHeight="1">
      <c r="A52" s="503"/>
      <c r="B52" s="177">
        <v>80148</v>
      </c>
      <c r="C52" s="173" t="s">
        <v>170</v>
      </c>
      <c r="D52" s="326">
        <v>243344</v>
      </c>
      <c r="E52" s="326">
        <v>127950.99</v>
      </c>
      <c r="F52" s="326">
        <f>E52</f>
        <v>127950.99</v>
      </c>
      <c r="G52" s="326">
        <f>35515.22+6372.17+6862.75+525.9</f>
        <v>49276.04</v>
      </c>
      <c r="H52" s="326">
        <f>F52-G52-J52</f>
        <v>77183.950000000012</v>
      </c>
      <c r="I52" s="326">
        <v>0</v>
      </c>
      <c r="J52" s="326">
        <v>1491</v>
      </c>
      <c r="K52" s="326">
        <v>0</v>
      </c>
      <c r="L52" s="326">
        <v>0</v>
      </c>
      <c r="M52" s="326">
        <v>0</v>
      </c>
      <c r="N52" s="326">
        <v>0</v>
      </c>
      <c r="O52" s="326">
        <v>0</v>
      </c>
      <c r="P52" s="270">
        <f t="shared" si="2"/>
        <v>52.580293740548356</v>
      </c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</row>
    <row r="53" spans="1:35" ht="12.75" customHeight="1">
      <c r="A53" s="504"/>
      <c r="B53" s="177">
        <v>80195</v>
      </c>
      <c r="C53" s="173" t="s">
        <v>74</v>
      </c>
      <c r="D53" s="326">
        <v>235440.82</v>
      </c>
      <c r="E53" s="326">
        <v>360</v>
      </c>
      <c r="F53" s="326">
        <v>360</v>
      </c>
      <c r="G53" s="326">
        <v>360</v>
      </c>
      <c r="H53" s="326">
        <v>0</v>
      </c>
      <c r="I53" s="326">
        <v>0</v>
      </c>
      <c r="J53" s="326">
        <v>0</v>
      </c>
      <c r="K53" s="326">
        <v>0</v>
      </c>
      <c r="L53" s="326">
        <v>0</v>
      </c>
      <c r="M53" s="326">
        <v>0</v>
      </c>
      <c r="N53" s="326">
        <v>0</v>
      </c>
      <c r="O53" s="326">
        <v>0</v>
      </c>
      <c r="P53" s="270">
        <f t="shared" si="2"/>
        <v>0.15290466623417298</v>
      </c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</row>
    <row r="54" spans="1:35" s="4" customFormat="1" ht="13.5" customHeight="1">
      <c r="A54" s="184">
        <v>851</v>
      </c>
      <c r="B54" s="184"/>
      <c r="C54" s="182" t="s">
        <v>34</v>
      </c>
      <c r="D54" s="325">
        <f>D55+D56+D57</f>
        <v>3614172.27</v>
      </c>
      <c r="E54" s="325">
        <f t="shared" ref="E54:O54" si="16">E55+E56+E57</f>
        <v>1287810.1199999999</v>
      </c>
      <c r="F54" s="325">
        <f t="shared" si="16"/>
        <v>1287810.1199999999</v>
      </c>
      <c r="G54" s="325">
        <f t="shared" si="16"/>
        <v>0</v>
      </c>
      <c r="H54" s="325">
        <f t="shared" si="16"/>
        <v>1287810.1199999999</v>
      </c>
      <c r="I54" s="325">
        <f t="shared" si="16"/>
        <v>0</v>
      </c>
      <c r="J54" s="325">
        <f t="shared" si="16"/>
        <v>0</v>
      </c>
      <c r="K54" s="325">
        <f t="shared" si="16"/>
        <v>0</v>
      </c>
      <c r="L54" s="325">
        <f t="shared" si="16"/>
        <v>0</v>
      </c>
      <c r="M54" s="325">
        <f t="shared" si="16"/>
        <v>0</v>
      </c>
      <c r="N54" s="325">
        <f t="shared" si="16"/>
        <v>0</v>
      </c>
      <c r="O54" s="325">
        <f t="shared" si="16"/>
        <v>0</v>
      </c>
      <c r="P54" s="270">
        <f t="shared" si="2"/>
        <v>35.632228454898744</v>
      </c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</row>
    <row r="55" spans="1:35" s="4" customFormat="1" ht="13.5" customHeight="1">
      <c r="A55" s="575"/>
      <c r="B55" s="186">
        <v>85111</v>
      </c>
      <c r="C55" s="183" t="s">
        <v>85</v>
      </c>
      <c r="D55" s="326">
        <v>1535172.27</v>
      </c>
      <c r="E55" s="326">
        <v>5422.11</v>
      </c>
      <c r="F55" s="326">
        <v>5422.11</v>
      </c>
      <c r="G55" s="326">
        <v>0</v>
      </c>
      <c r="H55" s="326">
        <v>5422.11</v>
      </c>
      <c r="I55" s="326">
        <v>0</v>
      </c>
      <c r="J55" s="326">
        <v>0</v>
      </c>
      <c r="K55" s="326">
        <v>0</v>
      </c>
      <c r="L55" s="326">
        <v>0</v>
      </c>
      <c r="M55" s="326">
        <v>0</v>
      </c>
      <c r="N55" s="326">
        <v>0</v>
      </c>
      <c r="O55" s="326">
        <v>0</v>
      </c>
      <c r="P55" s="270">
        <f t="shared" si="2"/>
        <v>0.35319228375588096</v>
      </c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</row>
    <row r="56" spans="1:35" s="4" customFormat="1" ht="13.5" customHeight="1">
      <c r="A56" s="576"/>
      <c r="B56" s="186">
        <v>85132</v>
      </c>
      <c r="C56" s="183" t="s">
        <v>288</v>
      </c>
      <c r="D56" s="326">
        <v>3000</v>
      </c>
      <c r="E56" s="326">
        <v>1509.16</v>
      </c>
      <c r="F56" s="326">
        <f>E56</f>
        <v>1509.16</v>
      </c>
      <c r="G56" s="326">
        <v>0</v>
      </c>
      <c r="H56" s="326">
        <f>F56</f>
        <v>1509.16</v>
      </c>
      <c r="I56" s="326">
        <v>0</v>
      </c>
      <c r="J56" s="326">
        <v>0</v>
      </c>
      <c r="K56" s="326">
        <v>0</v>
      </c>
      <c r="L56" s="326">
        <v>0</v>
      </c>
      <c r="M56" s="326">
        <v>0</v>
      </c>
      <c r="N56" s="326">
        <v>0</v>
      </c>
      <c r="O56" s="326">
        <v>0</v>
      </c>
      <c r="P56" s="270">
        <f t="shared" si="2"/>
        <v>50.305333333333337</v>
      </c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</row>
    <row r="57" spans="1:35" ht="33.75">
      <c r="A57" s="576"/>
      <c r="B57" s="177">
        <v>85156</v>
      </c>
      <c r="C57" s="323" t="s">
        <v>87</v>
      </c>
      <c r="D57" s="326">
        <v>2076000</v>
      </c>
      <c r="E57" s="326">
        <f>3790.8+561.6+12842+1263684.45</f>
        <v>1280878.8499999999</v>
      </c>
      <c r="F57" s="326">
        <f>E57</f>
        <v>1280878.8499999999</v>
      </c>
      <c r="G57" s="326">
        <v>0</v>
      </c>
      <c r="H57" s="326">
        <f>F57</f>
        <v>1280878.8499999999</v>
      </c>
      <c r="I57" s="326">
        <v>0</v>
      </c>
      <c r="J57" s="326">
        <v>0</v>
      </c>
      <c r="K57" s="326">
        <v>0</v>
      </c>
      <c r="L57" s="326">
        <v>0</v>
      </c>
      <c r="M57" s="326">
        <v>0</v>
      </c>
      <c r="N57" s="326">
        <v>0</v>
      </c>
      <c r="O57" s="326">
        <v>0</v>
      </c>
      <c r="P57" s="270">
        <f t="shared" si="2"/>
        <v>61.699366570327555</v>
      </c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</row>
    <row r="58" spans="1:35" s="4" customFormat="1">
      <c r="A58" s="184">
        <v>852</v>
      </c>
      <c r="B58" s="184"/>
      <c r="C58" s="182" t="s">
        <v>35</v>
      </c>
      <c r="D58" s="325">
        <f t="shared" ref="D58:O58" si="17">SUM(D59:D66)</f>
        <v>10646600.890000001</v>
      </c>
      <c r="E58" s="325">
        <f t="shared" si="17"/>
        <v>4486602.1800000006</v>
      </c>
      <c r="F58" s="325">
        <f t="shared" si="17"/>
        <v>4486602.1800000006</v>
      </c>
      <c r="G58" s="325">
        <f t="shared" si="17"/>
        <v>1312284.97</v>
      </c>
      <c r="H58" s="325">
        <f t="shared" si="17"/>
        <v>369526.16000000003</v>
      </c>
      <c r="I58" s="325">
        <f t="shared" si="17"/>
        <v>2096408.32</v>
      </c>
      <c r="J58" s="325">
        <f t="shared" si="17"/>
        <v>708382.73</v>
      </c>
      <c r="K58" s="325">
        <f t="shared" si="17"/>
        <v>0</v>
      </c>
      <c r="L58" s="325">
        <f t="shared" si="17"/>
        <v>0</v>
      </c>
      <c r="M58" s="325">
        <f t="shared" si="17"/>
        <v>0</v>
      </c>
      <c r="N58" s="325">
        <f t="shared" si="17"/>
        <v>0</v>
      </c>
      <c r="O58" s="325">
        <f t="shared" si="17"/>
        <v>0</v>
      </c>
      <c r="P58" s="270">
        <f t="shared" si="2"/>
        <v>42.14116999740375</v>
      </c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</row>
    <row r="59" spans="1:35" s="5" customFormat="1" ht="12.75" customHeight="1">
      <c r="A59" s="502"/>
      <c r="B59" s="177">
        <v>85201</v>
      </c>
      <c r="C59" s="173" t="s">
        <v>88</v>
      </c>
      <c r="D59" s="326">
        <v>5829285.8399999999</v>
      </c>
      <c r="E59" s="326">
        <f>834382.78+70557.35+73574.86+1221532.28</f>
        <v>2200047.27</v>
      </c>
      <c r="F59" s="326">
        <f>E59-M59</f>
        <v>2200047.27</v>
      </c>
      <c r="G59" s="326">
        <f>457983.55+88376.71+86525.67+11696.19+1711.9+23103.2+3724.22+4667.24+657.25</f>
        <v>678445.92999999993</v>
      </c>
      <c r="H59" s="326">
        <f>F59-G59-I59-J59</f>
        <v>221389.20000000007</v>
      </c>
      <c r="I59" s="326">
        <f>96999.21+547691.55+576841.52</f>
        <v>1221532.28</v>
      </c>
      <c r="J59" s="326">
        <f>840+73574.86+4265</f>
        <v>78679.86</v>
      </c>
      <c r="K59" s="326">
        <v>0</v>
      </c>
      <c r="L59" s="326">
        <v>0</v>
      </c>
      <c r="M59" s="326">
        <v>0</v>
      </c>
      <c r="N59" s="326">
        <v>0</v>
      </c>
      <c r="O59" s="326">
        <v>0</v>
      </c>
      <c r="P59" s="270">
        <f t="shared" si="2"/>
        <v>37.741283072850656</v>
      </c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</row>
    <row r="60" spans="1:35" s="5" customFormat="1">
      <c r="A60" s="503"/>
      <c r="B60" s="177">
        <v>85202</v>
      </c>
      <c r="C60" s="173" t="s">
        <v>89</v>
      </c>
      <c r="D60" s="326">
        <v>1618000</v>
      </c>
      <c r="E60" s="326">
        <v>754870</v>
      </c>
      <c r="F60" s="326">
        <f>E60-M60</f>
        <v>754870</v>
      </c>
      <c r="G60" s="326">
        <v>0</v>
      </c>
      <c r="H60" s="326">
        <v>0</v>
      </c>
      <c r="I60" s="326">
        <v>754870</v>
      </c>
      <c r="J60" s="326">
        <v>0</v>
      </c>
      <c r="K60" s="326">
        <v>0</v>
      </c>
      <c r="L60" s="326">
        <v>0</v>
      </c>
      <c r="M60" s="326">
        <v>0</v>
      </c>
      <c r="N60" s="326">
        <v>0</v>
      </c>
      <c r="O60" s="326">
        <v>0</v>
      </c>
      <c r="P60" s="270">
        <f t="shared" si="2"/>
        <v>46.65451174289246</v>
      </c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</row>
    <row r="61" spans="1:35">
      <c r="A61" s="503"/>
      <c r="B61" s="177">
        <v>85203</v>
      </c>
      <c r="C61" s="173" t="s">
        <v>90</v>
      </c>
      <c r="D61" s="326">
        <v>449000</v>
      </c>
      <c r="E61" s="326">
        <v>233610.31</v>
      </c>
      <c r="F61" s="473">
        <f t="shared" ref="F61:F66" si="18">E61</f>
        <v>233610.31</v>
      </c>
      <c r="G61" s="473">
        <f>137934.72+22908.19+27255.32+2733.81</f>
        <v>190832.04</v>
      </c>
      <c r="H61" s="326">
        <f>F61-G61-J61</f>
        <v>42688.779999999992</v>
      </c>
      <c r="I61" s="326">
        <v>0</v>
      </c>
      <c r="J61" s="326">
        <v>89.49</v>
      </c>
      <c r="K61" s="326">
        <v>0</v>
      </c>
      <c r="L61" s="326">
        <v>0</v>
      </c>
      <c r="M61" s="326">
        <v>0</v>
      </c>
      <c r="N61" s="326">
        <v>0</v>
      </c>
      <c r="O61" s="326">
        <v>0</v>
      </c>
      <c r="P61" s="270">
        <f t="shared" si="2"/>
        <v>52.029022271714922</v>
      </c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</row>
    <row r="62" spans="1:35">
      <c r="A62" s="503"/>
      <c r="B62" s="177">
        <v>85204</v>
      </c>
      <c r="C62" s="173" t="s">
        <v>113</v>
      </c>
      <c r="D62" s="326">
        <v>1894395.48</v>
      </c>
      <c r="E62" s="326">
        <f>756451.87+120006.04</f>
        <v>876457.91</v>
      </c>
      <c r="F62" s="326">
        <f t="shared" si="18"/>
        <v>876457.91</v>
      </c>
      <c r="G62" s="473">
        <f>18001.85+2516.64+106320</f>
        <v>126838.48999999999</v>
      </c>
      <c r="H62" s="326">
        <v>0</v>
      </c>
      <c r="I62" s="326">
        <v>120006.04</v>
      </c>
      <c r="J62" s="326">
        <v>629613.38</v>
      </c>
      <c r="K62" s="326">
        <v>0</v>
      </c>
      <c r="L62" s="326">
        <v>0</v>
      </c>
      <c r="M62" s="326">
        <v>0</v>
      </c>
      <c r="N62" s="326">
        <v>0</v>
      </c>
      <c r="O62" s="326">
        <v>0</v>
      </c>
      <c r="P62" s="270">
        <f t="shared" si="2"/>
        <v>46.265836212827118</v>
      </c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</row>
    <row r="63" spans="1:35" ht="22.5">
      <c r="A63" s="503"/>
      <c r="B63" s="177">
        <v>85205</v>
      </c>
      <c r="C63" s="173" t="s">
        <v>210</v>
      </c>
      <c r="D63" s="326">
        <v>319500</v>
      </c>
      <c r="E63" s="326">
        <f>137513.2+3500</f>
        <v>141013.20000000001</v>
      </c>
      <c r="F63" s="326">
        <f t="shared" si="18"/>
        <v>141013.20000000001</v>
      </c>
      <c r="G63" s="326">
        <f>71369.01+11151.83+13985.61+1649.88+14544</f>
        <v>112700.33</v>
      </c>
      <c r="H63" s="326">
        <f>F63-G63-J63</f>
        <v>28312.87000000001</v>
      </c>
      <c r="I63" s="326">
        <v>0</v>
      </c>
      <c r="J63" s="326">
        <v>0</v>
      </c>
      <c r="K63" s="326">
        <v>0</v>
      </c>
      <c r="L63" s="326">
        <v>0</v>
      </c>
      <c r="M63" s="326">
        <v>0</v>
      </c>
      <c r="N63" s="326">
        <v>0</v>
      </c>
      <c r="O63" s="326">
        <v>0</v>
      </c>
      <c r="P63" s="270">
        <f t="shared" si="2"/>
        <v>44.135586854460094</v>
      </c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</row>
    <row r="64" spans="1:35" ht="12.75" customHeight="1">
      <c r="A64" s="503"/>
      <c r="B64" s="177">
        <v>85218</v>
      </c>
      <c r="C64" s="173" t="s">
        <v>92</v>
      </c>
      <c r="D64" s="326">
        <v>531927</v>
      </c>
      <c r="E64" s="326">
        <f>280003.49</f>
        <v>280003.49</v>
      </c>
      <c r="F64" s="326">
        <f t="shared" si="18"/>
        <v>280003.49</v>
      </c>
      <c r="G64" s="473">
        <f>144878.26+25015.73+28488.95+3297.24+1788</f>
        <v>203468.18000000002</v>
      </c>
      <c r="H64" s="326">
        <f>F64-G64-J64</f>
        <v>76535.309999999969</v>
      </c>
      <c r="I64" s="326">
        <v>0</v>
      </c>
      <c r="J64" s="326">
        <v>0</v>
      </c>
      <c r="K64" s="326">
        <v>0</v>
      </c>
      <c r="L64" s="326">
        <v>0</v>
      </c>
      <c r="M64" s="326">
        <v>0</v>
      </c>
      <c r="N64" s="326">
        <v>0</v>
      </c>
      <c r="O64" s="326">
        <v>0</v>
      </c>
      <c r="P64" s="270">
        <f t="shared" si="2"/>
        <v>52.639458045934873</v>
      </c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</row>
    <row r="65" spans="1:35" ht="12.75" customHeight="1">
      <c r="A65" s="503"/>
      <c r="B65" s="177">
        <v>85233</v>
      </c>
      <c r="C65" s="173" t="s">
        <v>84</v>
      </c>
      <c r="D65" s="326">
        <v>3208.98</v>
      </c>
      <c r="E65" s="326">
        <v>600</v>
      </c>
      <c r="F65" s="326">
        <f t="shared" si="18"/>
        <v>600</v>
      </c>
      <c r="G65" s="326">
        <v>0</v>
      </c>
      <c r="H65" s="326">
        <f>F65-G65</f>
        <v>600</v>
      </c>
      <c r="I65" s="326">
        <v>0</v>
      </c>
      <c r="J65" s="326">
        <v>0</v>
      </c>
      <c r="K65" s="326">
        <v>0</v>
      </c>
      <c r="L65" s="326">
        <v>0</v>
      </c>
      <c r="M65" s="326">
        <v>0</v>
      </c>
      <c r="N65" s="326">
        <v>0</v>
      </c>
      <c r="O65" s="326">
        <v>0</v>
      </c>
      <c r="P65" s="270">
        <f t="shared" si="2"/>
        <v>18.697530056279565</v>
      </c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</row>
    <row r="66" spans="1:35" ht="12.75" customHeight="1">
      <c r="A66" s="503"/>
      <c r="B66" s="418">
        <v>85295</v>
      </c>
      <c r="C66" s="419" t="s">
        <v>74</v>
      </c>
      <c r="D66" s="326">
        <v>1283.5899999999999</v>
      </c>
      <c r="E66" s="326">
        <v>0</v>
      </c>
      <c r="F66" s="326">
        <f t="shared" si="18"/>
        <v>0</v>
      </c>
      <c r="G66" s="326">
        <v>0</v>
      </c>
      <c r="H66" s="326">
        <f>F66</f>
        <v>0</v>
      </c>
      <c r="I66" s="326">
        <v>0</v>
      </c>
      <c r="J66" s="326">
        <v>0</v>
      </c>
      <c r="K66" s="326">
        <v>0</v>
      </c>
      <c r="L66" s="326">
        <v>0</v>
      </c>
      <c r="M66" s="326">
        <v>0</v>
      </c>
      <c r="N66" s="326">
        <v>0</v>
      </c>
      <c r="O66" s="326">
        <v>0</v>
      </c>
      <c r="P66" s="270">
        <f t="shared" si="2"/>
        <v>0</v>
      </c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</row>
    <row r="67" spans="1:35" s="4" customFormat="1" ht="12.75" customHeight="1">
      <c r="A67" s="184">
        <v>853</v>
      </c>
      <c r="B67" s="184"/>
      <c r="C67" s="182" t="s">
        <v>36</v>
      </c>
      <c r="D67" s="325">
        <f>D69+D70+D71+D68</f>
        <v>3361092.24</v>
      </c>
      <c r="E67" s="325">
        <f t="shared" ref="E67:M67" si="19">E69+E70+E71+E68</f>
        <v>1970526.69</v>
      </c>
      <c r="F67" s="325">
        <f t="shared" si="19"/>
        <v>1970526.69</v>
      </c>
      <c r="G67" s="325">
        <f t="shared" si="19"/>
        <v>938680.31999999995</v>
      </c>
      <c r="H67" s="325">
        <f t="shared" si="19"/>
        <v>95710.840000000142</v>
      </c>
      <c r="I67" s="325">
        <f t="shared" si="19"/>
        <v>84000</v>
      </c>
      <c r="J67" s="325">
        <f t="shared" si="19"/>
        <v>240</v>
      </c>
      <c r="K67" s="325">
        <f t="shared" si="19"/>
        <v>851895.52999999991</v>
      </c>
      <c r="L67" s="325">
        <f t="shared" si="19"/>
        <v>0</v>
      </c>
      <c r="M67" s="325">
        <f t="shared" si="19"/>
        <v>0</v>
      </c>
      <c r="N67" s="325">
        <f t="shared" ref="N67:O67" si="20">N69+N70+N71+N68</f>
        <v>0</v>
      </c>
      <c r="O67" s="325">
        <f t="shared" si="20"/>
        <v>0</v>
      </c>
      <c r="P67" s="270">
        <f t="shared" si="2"/>
        <v>58.627569530790382</v>
      </c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</row>
    <row r="68" spans="1:35" s="5" customFormat="1" ht="12" customHeight="1">
      <c r="A68" s="509"/>
      <c r="B68" s="177">
        <v>85311</v>
      </c>
      <c r="C68" s="155" t="s">
        <v>152</v>
      </c>
      <c r="D68" s="326">
        <v>84000</v>
      </c>
      <c r="E68" s="326">
        <v>84000</v>
      </c>
      <c r="F68" s="326">
        <f>E68</f>
        <v>84000</v>
      </c>
      <c r="G68" s="326">
        <v>0</v>
      </c>
      <c r="H68" s="326">
        <v>0</v>
      </c>
      <c r="I68" s="326">
        <f>F68</f>
        <v>84000</v>
      </c>
      <c r="J68" s="326">
        <v>0</v>
      </c>
      <c r="K68" s="326">
        <v>0</v>
      </c>
      <c r="L68" s="326">
        <v>0</v>
      </c>
      <c r="M68" s="326">
        <v>0</v>
      </c>
      <c r="N68" s="326">
        <v>0</v>
      </c>
      <c r="O68" s="326">
        <v>0</v>
      </c>
      <c r="P68" s="270">
        <f t="shared" si="2"/>
        <v>100</v>
      </c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</row>
    <row r="69" spans="1:35" ht="12" customHeight="1">
      <c r="A69" s="509"/>
      <c r="B69" s="177">
        <v>85321</v>
      </c>
      <c r="C69" s="173" t="s">
        <v>116</v>
      </c>
      <c r="D69" s="326">
        <v>78000</v>
      </c>
      <c r="E69" s="326">
        <v>38646.17</v>
      </c>
      <c r="F69" s="326">
        <f>E69</f>
        <v>38646.17</v>
      </c>
      <c r="G69" s="326">
        <f>18336+3100.8+3576.99+525.21+2405</f>
        <v>27944</v>
      </c>
      <c r="H69" s="326">
        <f>F69-G69</f>
        <v>10702.169999999998</v>
      </c>
      <c r="I69" s="326">
        <v>0</v>
      </c>
      <c r="J69" s="326">
        <v>0</v>
      </c>
      <c r="K69" s="326">
        <v>0</v>
      </c>
      <c r="L69" s="326">
        <v>0</v>
      </c>
      <c r="M69" s="326">
        <v>0</v>
      </c>
      <c r="N69" s="326">
        <v>0</v>
      </c>
      <c r="O69" s="326">
        <v>0</v>
      </c>
      <c r="P69" s="270">
        <f t="shared" si="2"/>
        <v>49.546371794871789</v>
      </c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</row>
    <row r="70" spans="1:35" ht="14.25" customHeight="1">
      <c r="A70" s="509"/>
      <c r="B70" s="177">
        <v>85333</v>
      </c>
      <c r="C70" s="173" t="s">
        <v>94</v>
      </c>
      <c r="D70" s="326">
        <v>1808651.46</v>
      </c>
      <c r="E70" s="326">
        <f>992970.54+463.09</f>
        <v>993433.63</v>
      </c>
      <c r="F70" s="326">
        <f>E70-M70</f>
        <v>993433.63</v>
      </c>
      <c r="G70" s="326">
        <f>669571.32+116861.12+107690.28+14062.24</f>
        <v>908184.96</v>
      </c>
      <c r="H70" s="326">
        <f>F70-G70-J70</f>
        <v>85008.670000000042</v>
      </c>
      <c r="I70" s="326">
        <v>0</v>
      </c>
      <c r="J70" s="326">
        <v>240</v>
      </c>
      <c r="K70" s="326">
        <v>0</v>
      </c>
      <c r="L70" s="326">
        <v>0</v>
      </c>
      <c r="M70" s="326">
        <v>0</v>
      </c>
      <c r="N70" s="326">
        <v>0</v>
      </c>
      <c r="O70" s="326">
        <v>0</v>
      </c>
      <c r="P70" s="270">
        <f t="shared" si="2"/>
        <v>54.926759078280355</v>
      </c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</row>
    <row r="71" spans="1:35" ht="14.25" customHeight="1">
      <c r="A71" s="509"/>
      <c r="B71" s="177">
        <v>85395</v>
      </c>
      <c r="C71" s="173" t="s">
        <v>74</v>
      </c>
      <c r="D71" s="326">
        <v>1390440.78</v>
      </c>
      <c r="E71" s="326">
        <f>188288.43+42917.54+623240.92</f>
        <v>854446.89</v>
      </c>
      <c r="F71" s="473">
        <f>E71</f>
        <v>854446.89</v>
      </c>
      <c r="G71" s="473">
        <f>2168.78+329.44+53.14</f>
        <v>2551.36</v>
      </c>
      <c r="H71" s="473">
        <f>E71-K71-G71</f>
        <v>1.0231815394945443E-10</v>
      </c>
      <c r="I71" s="473">
        <v>0</v>
      </c>
      <c r="J71" s="326">
        <v>0</v>
      </c>
      <c r="K71" s="473">
        <f>587172.32+33517.24+231205.97</f>
        <v>851895.52999999991</v>
      </c>
      <c r="L71" s="326">
        <v>0</v>
      </c>
      <c r="M71" s="326">
        <v>0</v>
      </c>
      <c r="N71" s="326">
        <v>0</v>
      </c>
      <c r="O71" s="326">
        <v>0</v>
      </c>
      <c r="P71" s="270">
        <f t="shared" si="2"/>
        <v>61.451512519648624</v>
      </c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</row>
    <row r="72" spans="1:35" s="4" customFormat="1" ht="12.75" customHeight="1">
      <c r="A72" s="184">
        <v>854</v>
      </c>
      <c r="B72" s="184" t="s">
        <v>12</v>
      </c>
      <c r="C72" s="182" t="s">
        <v>95</v>
      </c>
      <c r="D72" s="325">
        <f>SUM(D73:D80)</f>
        <v>4528319.0199999996</v>
      </c>
      <c r="E72" s="325">
        <f t="shared" ref="E72:M72" si="21">SUM(E73:E80)</f>
        <v>2491605.9299999997</v>
      </c>
      <c r="F72" s="325">
        <f t="shared" si="21"/>
        <v>2491605.9299999997</v>
      </c>
      <c r="G72" s="325">
        <f t="shared" si="21"/>
        <v>1392319.77</v>
      </c>
      <c r="H72" s="325">
        <f t="shared" si="21"/>
        <v>391112.61999999994</v>
      </c>
      <c r="I72" s="325">
        <f t="shared" si="21"/>
        <v>657849.78</v>
      </c>
      <c r="J72" s="325">
        <f t="shared" si="21"/>
        <v>50323.759999999995</v>
      </c>
      <c r="K72" s="325">
        <f t="shared" si="21"/>
        <v>0</v>
      </c>
      <c r="L72" s="325">
        <f t="shared" si="21"/>
        <v>0</v>
      </c>
      <c r="M72" s="325">
        <f t="shared" si="21"/>
        <v>0</v>
      </c>
      <c r="N72" s="325">
        <f t="shared" ref="N72:O72" si="22">SUM(N73:N80)</f>
        <v>0</v>
      </c>
      <c r="O72" s="325">
        <f t="shared" si="22"/>
        <v>0</v>
      </c>
      <c r="P72" s="270">
        <f t="shared" si="2"/>
        <v>55.022756104317047</v>
      </c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</row>
    <row r="73" spans="1:35" ht="11.25" customHeight="1">
      <c r="A73" s="502"/>
      <c r="B73" s="177">
        <v>85406</v>
      </c>
      <c r="C73" s="173" t="s">
        <v>44</v>
      </c>
      <c r="D73" s="326">
        <v>843096</v>
      </c>
      <c r="E73" s="326">
        <f>478598.9</f>
        <v>478598.9</v>
      </c>
      <c r="F73" s="326">
        <f>E73-M73</f>
        <v>478598.9</v>
      </c>
      <c r="G73" s="473">
        <f>301054.85+47074.17+53161.33+5064.81+5235.3</f>
        <v>411590.45999999996</v>
      </c>
      <c r="H73" s="326">
        <f>F73-G73-J73</f>
        <v>66804.440000000061</v>
      </c>
      <c r="I73" s="326">
        <v>0</v>
      </c>
      <c r="J73" s="326">
        <v>204</v>
      </c>
      <c r="K73" s="326">
        <v>0</v>
      </c>
      <c r="L73" s="326">
        <v>0</v>
      </c>
      <c r="M73" s="326">
        <v>0</v>
      </c>
      <c r="N73" s="326">
        <v>0</v>
      </c>
      <c r="O73" s="326">
        <v>0</v>
      </c>
      <c r="P73" s="270">
        <f t="shared" si="2"/>
        <v>56.766833195745207</v>
      </c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</row>
    <row r="74" spans="1:35" ht="12.75" customHeight="1">
      <c r="A74" s="503"/>
      <c r="B74" s="177">
        <v>85407</v>
      </c>
      <c r="C74" s="173" t="s">
        <v>45</v>
      </c>
      <c r="D74" s="326">
        <v>426733.7</v>
      </c>
      <c r="E74" s="326">
        <f>239449.68</f>
        <v>239449.68</v>
      </c>
      <c r="F74" s="326">
        <f>E74-M74</f>
        <v>239449.68</v>
      </c>
      <c r="G74" s="473">
        <f>124264.38+21695.99+18739.02+1804.05+43551</f>
        <v>210054.43999999997</v>
      </c>
      <c r="H74" s="326">
        <f>F74-G74-J74</f>
        <v>29370.24000000002</v>
      </c>
      <c r="I74" s="326">
        <v>0</v>
      </c>
      <c r="J74" s="326">
        <v>25</v>
      </c>
      <c r="K74" s="326">
        <v>0</v>
      </c>
      <c r="L74" s="326">
        <v>0</v>
      </c>
      <c r="M74" s="326">
        <v>0</v>
      </c>
      <c r="N74" s="326">
        <v>0</v>
      </c>
      <c r="O74" s="326">
        <v>0</v>
      </c>
      <c r="P74" s="270">
        <f t="shared" ref="P74:P89" si="23">E74/D74*100</f>
        <v>56.112202996857285</v>
      </c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</row>
    <row r="75" spans="1:35">
      <c r="A75" s="503"/>
      <c r="B75" s="177">
        <v>85410</v>
      </c>
      <c r="C75" s="173" t="s">
        <v>46</v>
      </c>
      <c r="D75" s="473">
        <v>438592.13</v>
      </c>
      <c r="E75" s="473">
        <f>80983.14+185246.16+2711.05</f>
        <v>268940.34999999998</v>
      </c>
      <c r="F75" s="326">
        <f>E75-M75</f>
        <v>268940.34999999998</v>
      </c>
      <c r="G75" s="473">
        <f>27670.89+4698.01+5676.62+763.93+6754.33+91116.14+14138.18+18864.18+2756.44</f>
        <v>172438.72</v>
      </c>
      <c r="H75" s="326">
        <f>F75-G75-J75</f>
        <v>84212.499999999971</v>
      </c>
      <c r="I75" s="326">
        <v>0</v>
      </c>
      <c r="J75" s="326">
        <f>164+12125.13</f>
        <v>12289.13</v>
      </c>
      <c r="K75" s="326">
        <v>0</v>
      </c>
      <c r="L75" s="326">
        <v>0</v>
      </c>
      <c r="M75" s="326">
        <v>0</v>
      </c>
      <c r="N75" s="326">
        <v>0</v>
      </c>
      <c r="O75" s="326">
        <v>0</v>
      </c>
      <c r="P75" s="270">
        <f t="shared" si="23"/>
        <v>61.319009531703173</v>
      </c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</row>
    <row r="76" spans="1:35">
      <c r="A76" s="503"/>
      <c r="B76" s="177">
        <v>85415</v>
      </c>
      <c r="C76" s="173" t="s">
        <v>97</v>
      </c>
      <c r="D76" s="473">
        <v>10000</v>
      </c>
      <c r="E76" s="473">
        <v>6000</v>
      </c>
      <c r="F76" s="326">
        <f>E76</f>
        <v>6000</v>
      </c>
      <c r="G76" s="326">
        <v>0</v>
      </c>
      <c r="H76" s="326">
        <v>0</v>
      </c>
      <c r="I76" s="326">
        <v>0</v>
      </c>
      <c r="J76" s="326">
        <v>6000</v>
      </c>
      <c r="K76" s="326">
        <v>0</v>
      </c>
      <c r="L76" s="326">
        <v>0</v>
      </c>
      <c r="M76" s="326">
        <v>0</v>
      </c>
      <c r="N76" s="326">
        <v>0</v>
      </c>
      <c r="O76" s="326">
        <v>0</v>
      </c>
      <c r="P76" s="270">
        <f t="shared" si="23"/>
        <v>60</v>
      </c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</row>
    <row r="77" spans="1:35" ht="12" customHeight="1">
      <c r="A77" s="503"/>
      <c r="B77" s="177">
        <v>85419</v>
      </c>
      <c r="C77" s="173" t="s">
        <v>150</v>
      </c>
      <c r="D77" s="473">
        <v>1376911.68</v>
      </c>
      <c r="E77" s="473">
        <v>657849.78</v>
      </c>
      <c r="F77" s="326">
        <f>E77</f>
        <v>657849.78</v>
      </c>
      <c r="G77" s="326">
        <v>0</v>
      </c>
      <c r="H77" s="326">
        <v>0</v>
      </c>
      <c r="I77" s="326">
        <f>F77</f>
        <v>657849.78</v>
      </c>
      <c r="J77" s="326">
        <v>0</v>
      </c>
      <c r="K77" s="326">
        <v>0</v>
      </c>
      <c r="L77" s="326">
        <v>0</v>
      </c>
      <c r="M77" s="326">
        <v>0</v>
      </c>
      <c r="N77" s="326">
        <v>0</v>
      </c>
      <c r="O77" s="326">
        <v>0</v>
      </c>
      <c r="P77" s="270">
        <f t="shared" si="23"/>
        <v>47.77719512118599</v>
      </c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</row>
    <row r="78" spans="1:35">
      <c r="A78" s="503"/>
      <c r="B78" s="177">
        <v>85420</v>
      </c>
      <c r="C78" s="173" t="s">
        <v>130</v>
      </c>
      <c r="D78" s="473">
        <v>1379668</v>
      </c>
      <c r="E78" s="473">
        <v>838941.65</v>
      </c>
      <c r="F78" s="326">
        <f>E78</f>
        <v>838941.65</v>
      </c>
      <c r="G78" s="473">
        <f>436808.65+60314.41+76724.57+9662.52+14726</f>
        <v>598236.15000000014</v>
      </c>
      <c r="H78" s="326">
        <f>F78-G78-J78</f>
        <v>208899.86999999988</v>
      </c>
      <c r="I78" s="326">
        <v>0</v>
      </c>
      <c r="J78" s="326">
        <v>31805.63</v>
      </c>
      <c r="K78" s="326">
        <v>0</v>
      </c>
      <c r="L78" s="326">
        <v>0</v>
      </c>
      <c r="M78" s="326">
        <v>0</v>
      </c>
      <c r="N78" s="326">
        <v>0</v>
      </c>
      <c r="O78" s="326">
        <v>0</v>
      </c>
      <c r="P78" s="270">
        <f t="shared" si="23"/>
        <v>60.807502239669255</v>
      </c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</row>
    <row r="79" spans="1:35" ht="13.5" customHeight="1">
      <c r="A79" s="503"/>
      <c r="B79" s="177">
        <v>85446</v>
      </c>
      <c r="C79" s="173" t="s">
        <v>84</v>
      </c>
      <c r="D79" s="473">
        <v>17291.080000000002</v>
      </c>
      <c r="E79" s="473">
        <f>40+700.13+1085.44</f>
        <v>1825.5700000000002</v>
      </c>
      <c r="F79" s="326">
        <f>E79</f>
        <v>1825.5700000000002</v>
      </c>
      <c r="G79" s="326">
        <v>0</v>
      </c>
      <c r="H79" s="326">
        <f>F79</f>
        <v>1825.5700000000002</v>
      </c>
      <c r="I79" s="326">
        <v>0</v>
      </c>
      <c r="J79" s="326">
        <v>0</v>
      </c>
      <c r="K79" s="326">
        <v>0</v>
      </c>
      <c r="L79" s="326">
        <v>0</v>
      </c>
      <c r="M79" s="326">
        <v>0</v>
      </c>
      <c r="N79" s="326">
        <v>0</v>
      </c>
      <c r="O79" s="326">
        <v>0</v>
      </c>
      <c r="P79" s="270">
        <f t="shared" si="23"/>
        <v>10.557871457421978</v>
      </c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</row>
    <row r="80" spans="1:35">
      <c r="A80" s="504"/>
      <c r="B80" s="207">
        <v>85495</v>
      </c>
      <c r="C80" s="173" t="s">
        <v>74</v>
      </c>
      <c r="D80" s="473">
        <v>36026.43</v>
      </c>
      <c r="E80" s="326">
        <v>0</v>
      </c>
      <c r="F80" s="326">
        <f>E80</f>
        <v>0</v>
      </c>
      <c r="G80" s="326">
        <v>0</v>
      </c>
      <c r="H80" s="326">
        <v>0</v>
      </c>
      <c r="I80" s="326">
        <v>0</v>
      </c>
      <c r="J80" s="326">
        <v>0</v>
      </c>
      <c r="K80" s="326">
        <v>0</v>
      </c>
      <c r="L80" s="326">
        <v>0</v>
      </c>
      <c r="M80" s="326">
        <v>0</v>
      </c>
      <c r="N80" s="326">
        <v>0</v>
      </c>
      <c r="O80" s="326">
        <v>0</v>
      </c>
      <c r="P80" s="270">
        <f t="shared" si="23"/>
        <v>0</v>
      </c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</row>
    <row r="81" spans="1:35" ht="12.75" customHeight="1">
      <c r="A81" s="362">
        <v>900</v>
      </c>
      <c r="B81" s="373"/>
      <c r="C81" s="400" t="s">
        <v>137</v>
      </c>
      <c r="D81" s="472">
        <f>D82</f>
        <v>2914609.89</v>
      </c>
      <c r="E81" s="472">
        <f t="shared" ref="E81:F81" si="24">E82</f>
        <v>1406.7</v>
      </c>
      <c r="F81" s="472">
        <f t="shared" si="24"/>
        <v>1406.7</v>
      </c>
      <c r="G81" s="472">
        <f t="shared" ref="G81" si="25">G82</f>
        <v>0</v>
      </c>
      <c r="H81" s="472">
        <f t="shared" ref="H81" si="26">H82</f>
        <v>1406.7</v>
      </c>
      <c r="I81" s="326">
        <v>0</v>
      </c>
      <c r="J81" s="326">
        <v>0</v>
      </c>
      <c r="K81" s="326">
        <v>0</v>
      </c>
      <c r="L81" s="326">
        <v>0</v>
      </c>
      <c r="M81" s="326">
        <v>0</v>
      </c>
      <c r="N81" s="326">
        <v>0</v>
      </c>
      <c r="O81" s="326">
        <v>0</v>
      </c>
      <c r="P81" s="270">
        <f t="shared" si="23"/>
        <v>4.8263748943773742E-2</v>
      </c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</row>
    <row r="82" spans="1:35">
      <c r="A82" s="374"/>
      <c r="B82" s="373">
        <v>90095</v>
      </c>
      <c r="C82" s="118" t="s">
        <v>74</v>
      </c>
      <c r="D82" s="473">
        <v>2914609.89</v>
      </c>
      <c r="E82" s="473">
        <v>1406.7</v>
      </c>
      <c r="F82" s="326">
        <v>1406.7</v>
      </c>
      <c r="G82" s="326">
        <v>0</v>
      </c>
      <c r="H82" s="326">
        <v>1406.7</v>
      </c>
      <c r="I82" s="326">
        <v>0</v>
      </c>
      <c r="J82" s="326">
        <v>0</v>
      </c>
      <c r="K82" s="326">
        <v>0</v>
      </c>
      <c r="L82" s="326">
        <v>0</v>
      </c>
      <c r="M82" s="326">
        <v>0</v>
      </c>
      <c r="N82" s="326">
        <v>0</v>
      </c>
      <c r="O82" s="326">
        <v>0</v>
      </c>
      <c r="P82" s="270">
        <f t="shared" si="23"/>
        <v>4.8263748943773742E-2</v>
      </c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</row>
    <row r="83" spans="1:35" s="41" customFormat="1" ht="12.75" customHeight="1">
      <c r="A83" s="184">
        <v>921</v>
      </c>
      <c r="B83" s="184"/>
      <c r="C83" s="182" t="s">
        <v>117</v>
      </c>
      <c r="D83" s="325">
        <f>D84+D85</f>
        <v>72500</v>
      </c>
      <c r="E83" s="325">
        <f t="shared" ref="E83:N83" si="27">E84+E85</f>
        <v>31400</v>
      </c>
      <c r="F83" s="325">
        <f t="shared" si="27"/>
        <v>31400</v>
      </c>
      <c r="G83" s="325">
        <f t="shared" si="27"/>
        <v>1350</v>
      </c>
      <c r="H83" s="325">
        <f t="shared" si="27"/>
        <v>300</v>
      </c>
      <c r="I83" s="325">
        <f t="shared" si="27"/>
        <v>29750</v>
      </c>
      <c r="J83" s="325">
        <f t="shared" si="27"/>
        <v>0</v>
      </c>
      <c r="K83" s="325">
        <f t="shared" si="27"/>
        <v>0</v>
      </c>
      <c r="L83" s="325">
        <f t="shared" si="27"/>
        <v>0</v>
      </c>
      <c r="M83" s="325">
        <f t="shared" si="27"/>
        <v>0</v>
      </c>
      <c r="N83" s="325">
        <f t="shared" si="27"/>
        <v>0</v>
      </c>
      <c r="O83" s="325">
        <f>O84+O85</f>
        <v>0</v>
      </c>
      <c r="P83" s="270">
        <f t="shared" si="23"/>
        <v>43.310344827586206</v>
      </c>
      <c r="Q83" s="40"/>
      <c r="R83" s="40"/>
      <c r="S83" s="40"/>
      <c r="T83" s="40"/>
      <c r="U83" s="40"/>
      <c r="V83" s="40"/>
      <c r="W83" s="40"/>
      <c r="X83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</row>
    <row r="84" spans="1:35">
      <c r="A84" s="574"/>
      <c r="B84" s="177">
        <v>92105</v>
      </c>
      <c r="C84" s="173" t="s">
        <v>118</v>
      </c>
      <c r="D84" s="326">
        <v>13000</v>
      </c>
      <c r="E84" s="326">
        <v>1650</v>
      </c>
      <c r="F84" s="326">
        <f>E84</f>
        <v>1650</v>
      </c>
      <c r="G84" s="326">
        <v>1350</v>
      </c>
      <c r="H84" s="326">
        <f>E84-G84</f>
        <v>300</v>
      </c>
      <c r="I84" s="326">
        <v>0</v>
      </c>
      <c r="J84" s="326">
        <v>0</v>
      </c>
      <c r="K84" s="326">
        <v>0</v>
      </c>
      <c r="L84" s="326">
        <v>0</v>
      </c>
      <c r="M84" s="326">
        <v>0</v>
      </c>
      <c r="N84" s="326">
        <v>0</v>
      </c>
      <c r="O84" s="326">
        <v>0</v>
      </c>
      <c r="P84" s="270">
        <f t="shared" si="23"/>
        <v>12.692307692307692</v>
      </c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</row>
    <row r="85" spans="1:35">
      <c r="A85" s="574"/>
      <c r="B85" s="177">
        <v>92116</v>
      </c>
      <c r="C85" s="173" t="s">
        <v>171</v>
      </c>
      <c r="D85" s="326">
        <v>59500</v>
      </c>
      <c r="E85" s="326">
        <v>29750</v>
      </c>
      <c r="F85" s="326">
        <f>E85-M85</f>
        <v>29750</v>
      </c>
      <c r="G85" s="326">
        <v>0</v>
      </c>
      <c r="H85" s="326">
        <v>0</v>
      </c>
      <c r="I85" s="326">
        <v>29750</v>
      </c>
      <c r="J85" s="326">
        <v>0</v>
      </c>
      <c r="K85" s="326">
        <v>0</v>
      </c>
      <c r="L85" s="326">
        <v>0</v>
      </c>
      <c r="M85" s="326">
        <v>0</v>
      </c>
      <c r="N85" s="326">
        <v>0</v>
      </c>
      <c r="O85" s="326">
        <v>0</v>
      </c>
      <c r="P85" s="270">
        <f t="shared" si="23"/>
        <v>50</v>
      </c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</row>
    <row r="86" spans="1:35" s="4" customFormat="1">
      <c r="A86" s="184">
        <v>926</v>
      </c>
      <c r="B86" s="184"/>
      <c r="C86" s="182" t="s">
        <v>98</v>
      </c>
      <c r="D86" s="325">
        <f>D88+D87</f>
        <v>1087781.82</v>
      </c>
      <c r="E86" s="325">
        <f t="shared" ref="E86:N86" si="28">E88+E87</f>
        <v>46904.25</v>
      </c>
      <c r="F86" s="325">
        <f t="shared" si="28"/>
        <v>46904.25</v>
      </c>
      <c r="G86" s="325">
        <f t="shared" si="28"/>
        <v>21083.8</v>
      </c>
      <c r="H86" s="325">
        <f t="shared" si="28"/>
        <v>820.45000000000073</v>
      </c>
      <c r="I86" s="325">
        <f t="shared" si="28"/>
        <v>25000</v>
      </c>
      <c r="J86" s="325">
        <f t="shared" si="28"/>
        <v>0</v>
      </c>
      <c r="K86" s="325">
        <f t="shared" si="28"/>
        <v>0</v>
      </c>
      <c r="L86" s="325">
        <f t="shared" si="28"/>
        <v>0</v>
      </c>
      <c r="M86" s="325">
        <f t="shared" si="28"/>
        <v>0</v>
      </c>
      <c r="N86" s="325">
        <f t="shared" si="28"/>
        <v>0</v>
      </c>
      <c r="O86" s="325">
        <f>O88+O87</f>
        <v>0</v>
      </c>
      <c r="P86" s="270">
        <f t="shared" si="23"/>
        <v>4.3119170717524957</v>
      </c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</row>
    <row r="87" spans="1:35" s="5" customFormat="1">
      <c r="A87" s="509"/>
      <c r="B87" s="177">
        <v>92601</v>
      </c>
      <c r="C87" s="173" t="s">
        <v>151</v>
      </c>
      <c r="D87" s="326">
        <v>1050781.82</v>
      </c>
      <c r="E87" s="326">
        <v>21904.25</v>
      </c>
      <c r="F87" s="326">
        <f>E87</f>
        <v>21904.25</v>
      </c>
      <c r="G87" s="326">
        <f>10920+1591.2+2284.02+268.3+6020.28</f>
        <v>21083.8</v>
      </c>
      <c r="H87" s="326">
        <f>F87-G87-I87</f>
        <v>820.45000000000073</v>
      </c>
      <c r="I87" s="326">
        <v>0</v>
      </c>
      <c r="J87" s="326">
        <v>0</v>
      </c>
      <c r="K87" s="326">
        <v>0</v>
      </c>
      <c r="L87" s="326">
        <v>0</v>
      </c>
      <c r="M87" s="326">
        <v>0</v>
      </c>
      <c r="N87" s="326">
        <v>0</v>
      </c>
      <c r="O87" s="326">
        <v>0</v>
      </c>
      <c r="P87" s="270">
        <f t="shared" si="23"/>
        <v>2.0845668989591006</v>
      </c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</row>
    <row r="88" spans="1:35" ht="13.5" customHeight="1">
      <c r="A88" s="509"/>
      <c r="B88" s="177">
        <v>92605</v>
      </c>
      <c r="C88" s="173" t="s">
        <v>99</v>
      </c>
      <c r="D88" s="326">
        <v>37000</v>
      </c>
      <c r="E88" s="326">
        <v>25000</v>
      </c>
      <c r="F88" s="326">
        <f>E88</f>
        <v>25000</v>
      </c>
      <c r="G88" s="326">
        <v>0</v>
      </c>
      <c r="H88" s="326">
        <v>0</v>
      </c>
      <c r="I88" s="326">
        <v>25000</v>
      </c>
      <c r="J88" s="326">
        <v>0</v>
      </c>
      <c r="K88" s="326">
        <v>0</v>
      </c>
      <c r="L88" s="326">
        <v>0</v>
      </c>
      <c r="M88" s="326">
        <v>0</v>
      </c>
      <c r="N88" s="326">
        <v>0</v>
      </c>
      <c r="O88" s="326">
        <v>0</v>
      </c>
      <c r="P88" s="270">
        <f t="shared" si="23"/>
        <v>67.567567567567565</v>
      </c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</row>
    <row r="89" spans="1:35" s="48" customFormat="1" ht="12">
      <c r="A89" s="573" t="s">
        <v>26</v>
      </c>
      <c r="B89" s="573"/>
      <c r="C89" s="573"/>
      <c r="D89" s="324">
        <f>D12+D15+D18+D20+D22+D26+D33+D39+D43+D54+D58+D67+D72+D83+D86+D41+D81</f>
        <v>55330966.950000003</v>
      </c>
      <c r="E89" s="324">
        <f t="shared" ref="E89:N89" si="29">E12+E15+E18+E20+E22+E26+E33+E39+E43+E54+E58+E67+E72+E83+E86+E41+E81</f>
        <v>24816235.840000004</v>
      </c>
      <c r="F89" s="324">
        <f t="shared" si="29"/>
        <v>24794095.840000004</v>
      </c>
      <c r="G89" s="324">
        <f t="shared" si="29"/>
        <v>13156491.410000002</v>
      </c>
      <c r="H89" s="324">
        <f t="shared" si="29"/>
        <v>5047494.1800000006</v>
      </c>
      <c r="I89" s="324">
        <f t="shared" si="29"/>
        <v>3909613.0700000003</v>
      </c>
      <c r="J89" s="324">
        <f t="shared" si="29"/>
        <v>1120803.8600000001</v>
      </c>
      <c r="K89" s="324">
        <f t="shared" si="29"/>
        <v>851895.52999999991</v>
      </c>
      <c r="L89" s="324">
        <f t="shared" si="29"/>
        <v>707797.79</v>
      </c>
      <c r="M89" s="324">
        <f t="shared" si="29"/>
        <v>22140</v>
      </c>
      <c r="N89" s="324">
        <f t="shared" si="29"/>
        <v>22140</v>
      </c>
      <c r="O89" s="324">
        <f t="shared" ref="O89" si="30">O12+O15+O18+O20+O22+O26+O33+O39+O43+O54+O58+O67+O72+O83+O86+O41</f>
        <v>0</v>
      </c>
      <c r="P89" s="488">
        <f t="shared" si="23"/>
        <v>44.850537064398807</v>
      </c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</row>
    <row r="90" spans="1:35">
      <c r="A90" s="1"/>
      <c r="B90" s="1"/>
      <c r="C90" s="1"/>
      <c r="D90" s="1"/>
      <c r="E90" s="1"/>
      <c r="F90" s="299"/>
      <c r="G90" s="1"/>
      <c r="H90" s="1"/>
      <c r="I90" s="1"/>
      <c r="J90" s="1"/>
      <c r="K90" s="1"/>
      <c r="L90" s="1"/>
      <c r="M90" s="1"/>
      <c r="N90" s="1"/>
      <c r="O90" s="1"/>
    </row>
    <row r="91" spans="1:35">
      <c r="A91" s="1"/>
      <c r="B91" s="1"/>
      <c r="C91" s="1"/>
      <c r="D91" s="1"/>
      <c r="E91" s="299"/>
      <c r="F91" s="572"/>
      <c r="G91" s="572"/>
      <c r="H91" s="1"/>
      <c r="I91" s="1"/>
      <c r="J91" s="1"/>
      <c r="K91" s="1"/>
      <c r="L91" s="1"/>
      <c r="M91" s="299"/>
      <c r="N91" s="1"/>
      <c r="O91" s="1"/>
    </row>
    <row r="92" spans="1:35">
      <c r="E92" s="217"/>
      <c r="F92" s="300"/>
      <c r="G92" s="300"/>
      <c r="I92" s="217"/>
    </row>
    <row r="93" spans="1:35">
      <c r="F93" s="300"/>
      <c r="G93" s="300"/>
      <c r="J93" s="421"/>
      <c r="M93" s="319"/>
      <c r="N93" s="91"/>
    </row>
    <row r="94" spans="1:35">
      <c r="F94" s="300"/>
      <c r="G94" s="300"/>
    </row>
    <row r="95" spans="1:35">
      <c r="F95" s="300"/>
      <c r="G95" s="300"/>
      <c r="M95" s="217"/>
    </row>
    <row r="96" spans="1:35">
      <c r="F96" s="300"/>
      <c r="G96" s="300"/>
    </row>
  </sheetData>
  <mergeCells count="30">
    <mergeCell ref="A23:A25"/>
    <mergeCell ref="A73:A80"/>
    <mergeCell ref="A59:A66"/>
    <mergeCell ref="A55:A57"/>
    <mergeCell ref="A27:A32"/>
    <mergeCell ref="A34:A38"/>
    <mergeCell ref="F91:G91"/>
    <mergeCell ref="A44:A53"/>
    <mergeCell ref="A89:C89"/>
    <mergeCell ref="A87:A88"/>
    <mergeCell ref="A84:A85"/>
    <mergeCell ref="A68:A71"/>
    <mergeCell ref="I1:P1"/>
    <mergeCell ref="F8:M8"/>
    <mergeCell ref="M9:M10"/>
    <mergeCell ref="F9:F10"/>
    <mergeCell ref="P8:P10"/>
    <mergeCell ref="G9:L9"/>
    <mergeCell ref="A16:A17"/>
    <mergeCell ref="A2:P2"/>
    <mergeCell ref="A3:P3"/>
    <mergeCell ref="A4:P4"/>
    <mergeCell ref="A5:P5"/>
    <mergeCell ref="A13:A14"/>
    <mergeCell ref="A8:A10"/>
    <mergeCell ref="B8:B10"/>
    <mergeCell ref="C8:C10"/>
    <mergeCell ref="D8:D10"/>
    <mergeCell ref="E8:E10"/>
    <mergeCell ref="N9:O9"/>
  </mergeCells>
  <phoneticPr fontId="0" type="noConversion"/>
  <pageMargins left="0.2" right="0.19685039370078741" top="0.55000000000000004" bottom="0.37" header="0.41" footer="0.27"/>
  <pageSetup paperSize="9" scale="83" fitToWidth="2" fitToHeight="2" orientation="landscape" r:id="rId1"/>
  <headerFooter alignWithMargins="0">
    <oddFooter>&amp;C&amp;"Times New (W1),Normalny"Tabela Nr 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X126"/>
  <sheetViews>
    <sheetView view="pageLayout" topLeftCell="A8" workbookViewId="0">
      <selection activeCell="K35" sqref="K35"/>
    </sheetView>
  </sheetViews>
  <sheetFormatPr defaultRowHeight="12.75"/>
  <cols>
    <col min="1" max="1" width="5.28515625" customWidth="1"/>
    <col min="2" max="2" width="6" hidden="1" customWidth="1"/>
    <col min="3" max="3" width="6.140625" hidden="1" customWidth="1"/>
    <col min="4" max="4" width="25.28515625" customWidth="1"/>
    <col min="5" max="5" width="13.5703125" customWidth="1"/>
    <col min="6" max="6" width="12.7109375" hidden="1" customWidth="1"/>
    <col min="7" max="9" width="12.7109375" customWidth="1"/>
    <col min="10" max="10" width="16.7109375" customWidth="1"/>
    <col min="11" max="11" width="40.7109375" customWidth="1"/>
    <col min="12" max="12" width="0.85546875" hidden="1" customWidth="1"/>
  </cols>
  <sheetData>
    <row r="1" spans="1:24" ht="15.75" customHeight="1">
      <c r="D1" t="s">
        <v>135</v>
      </c>
      <c r="E1" t="s">
        <v>127</v>
      </c>
    </row>
    <row r="2" spans="1:24" s="3" customFormat="1">
      <c r="A2" s="101" t="s">
        <v>13</v>
      </c>
      <c r="B2" s="26"/>
      <c r="C2" s="12" t="s">
        <v>27</v>
      </c>
      <c r="D2" s="13">
        <v>25000</v>
      </c>
      <c r="E2" s="27">
        <v>1599</v>
      </c>
      <c r="F2" s="2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 hidden="1">
      <c r="A3" s="102" t="s">
        <v>12</v>
      </c>
      <c r="B3" s="17" t="s">
        <v>48</v>
      </c>
      <c r="C3" s="14" t="s">
        <v>64</v>
      </c>
      <c r="D3" s="8">
        <v>92000</v>
      </c>
      <c r="E3" s="8">
        <v>2213</v>
      </c>
      <c r="F3" s="8">
        <v>0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hidden="1">
      <c r="A4" s="102"/>
      <c r="B4" s="17" t="s">
        <v>120</v>
      </c>
      <c r="C4" s="35" t="s">
        <v>121</v>
      </c>
      <c r="D4" s="8">
        <v>104</v>
      </c>
      <c r="E4" s="8">
        <v>104</v>
      </c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1:24" s="4" customFormat="1" ht="24">
      <c r="A5" s="101" t="s">
        <v>14</v>
      </c>
      <c r="B5" s="100"/>
      <c r="C5" s="15" t="s">
        <v>28</v>
      </c>
      <c r="D5" s="16">
        <v>320000</v>
      </c>
      <c r="E5" s="16">
        <v>144376.07</v>
      </c>
      <c r="F5" s="16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ht="48" hidden="1">
      <c r="A6" s="102"/>
      <c r="B6" s="17" t="s">
        <v>66</v>
      </c>
      <c r="C6" s="7" t="s">
        <v>67</v>
      </c>
      <c r="D6" s="8">
        <v>224829</v>
      </c>
      <c r="E6" s="8">
        <v>116347</v>
      </c>
      <c r="F6" s="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idden="1">
      <c r="A7" s="102"/>
      <c r="B7" s="17" t="s">
        <v>101</v>
      </c>
      <c r="C7" s="14" t="s">
        <v>102</v>
      </c>
      <c r="D7" s="8">
        <v>8200</v>
      </c>
      <c r="E7" s="8">
        <v>0</v>
      </c>
      <c r="F7" s="8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4" customFormat="1">
      <c r="A8" s="103">
        <v>600</v>
      </c>
      <c r="B8" s="100"/>
      <c r="C8" s="18" t="s">
        <v>69</v>
      </c>
      <c r="D8" s="16">
        <v>2392731.08</v>
      </c>
      <c r="E8" s="31">
        <v>1115202.43</v>
      </c>
      <c r="F8" s="16">
        <f>F9</f>
        <v>262320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idden="1">
      <c r="A9" s="102"/>
      <c r="B9" s="17">
        <v>60014</v>
      </c>
      <c r="C9" s="14" t="s">
        <v>39</v>
      </c>
      <c r="D9" s="8">
        <v>1203064</v>
      </c>
      <c r="E9" s="8">
        <f>484309</f>
        <v>484309</v>
      </c>
      <c r="F9" s="8">
        <f>187452+34873+33469+5726+800</f>
        <v>262320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4" customFormat="1">
      <c r="A10" s="103">
        <v>700</v>
      </c>
      <c r="B10" s="100"/>
      <c r="C10" s="18" t="s">
        <v>29</v>
      </c>
      <c r="D10" s="16">
        <v>204000</v>
      </c>
      <c r="E10" s="16">
        <v>94025.15</v>
      </c>
      <c r="F10" s="16">
        <f>F11</f>
        <v>244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hidden="1">
      <c r="A11" s="102" t="s">
        <v>12</v>
      </c>
      <c r="B11" s="19">
        <v>70005</v>
      </c>
      <c r="C11" s="14" t="s">
        <v>70</v>
      </c>
      <c r="D11" s="8">
        <v>205200</v>
      </c>
      <c r="E11" s="8">
        <v>144908</v>
      </c>
      <c r="F11" s="8">
        <v>244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4" customFormat="1" ht="18" customHeight="1">
      <c r="A12" s="103">
        <v>710</v>
      </c>
      <c r="B12" s="26"/>
      <c r="C12" s="18" t="s">
        <v>103</v>
      </c>
      <c r="D12" s="16">
        <v>425121.68</v>
      </c>
      <c r="E12" s="16">
        <v>164757.63</v>
      </c>
      <c r="F12" s="16">
        <f>F13+F14+F15</f>
        <v>53079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hidden="1">
      <c r="A13" s="102"/>
      <c r="B13" s="19">
        <v>71013</v>
      </c>
      <c r="C13" s="14" t="s">
        <v>104</v>
      </c>
      <c r="D13" s="8">
        <v>50000</v>
      </c>
      <c r="E13" s="8">
        <v>0</v>
      </c>
      <c r="F13" s="8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ht="12.75" hidden="1" customHeight="1">
      <c r="A14" s="102"/>
      <c r="B14" s="19">
        <v>71014</v>
      </c>
      <c r="C14" s="7" t="s">
        <v>72</v>
      </c>
      <c r="D14" s="8">
        <v>20000</v>
      </c>
      <c r="E14" s="8">
        <v>0</v>
      </c>
      <c r="F14" s="8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1:24" ht="13.5" hidden="1" customHeight="1">
      <c r="A15" s="102" t="s">
        <v>12</v>
      </c>
      <c r="B15" s="19">
        <v>71015</v>
      </c>
      <c r="C15" s="7" t="s">
        <v>73</v>
      </c>
      <c r="D15" s="8">
        <v>121900</v>
      </c>
      <c r="E15" s="8">
        <v>57990</v>
      </c>
      <c r="F15" s="8">
        <f>26643+11345+6066+7954+1071</f>
        <v>53079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6" spans="1:24" ht="13.5" hidden="1" customHeight="1">
      <c r="A16" s="102">
        <v>0</v>
      </c>
      <c r="B16" s="19">
        <v>71095</v>
      </c>
      <c r="C16" s="7" t="s">
        <v>74</v>
      </c>
      <c r="D16" s="8">
        <v>0</v>
      </c>
      <c r="E16" s="8">
        <v>0</v>
      </c>
      <c r="F16" s="8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</row>
    <row r="17" spans="1:24" s="4" customFormat="1" ht="60" hidden="1">
      <c r="A17" s="103">
        <v>750</v>
      </c>
      <c r="B17" s="26"/>
      <c r="C17" s="15" t="s">
        <v>31</v>
      </c>
      <c r="D17" s="16">
        <v>3770270</v>
      </c>
      <c r="E17" s="16">
        <v>1940122</v>
      </c>
      <c r="F17" s="16">
        <f>F18+F21+F19+F20+F22</f>
        <v>1088502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ht="48" hidden="1">
      <c r="A18" s="102" t="s">
        <v>12</v>
      </c>
      <c r="B18" s="19">
        <v>75011</v>
      </c>
      <c r="C18" s="7" t="s">
        <v>75</v>
      </c>
      <c r="D18" s="8">
        <v>98000</v>
      </c>
      <c r="E18" s="8">
        <v>48996</v>
      </c>
      <c r="F18" s="8">
        <v>48996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</row>
    <row r="19" spans="1:24" ht="36" hidden="1">
      <c r="A19" s="102"/>
      <c r="B19" s="19">
        <v>75019</v>
      </c>
      <c r="C19" s="7" t="s">
        <v>105</v>
      </c>
      <c r="D19" s="8">
        <v>172200</v>
      </c>
      <c r="E19" s="8">
        <v>76455</v>
      </c>
      <c r="F19" s="8">
        <v>0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</row>
    <row r="20" spans="1:24" ht="48" hidden="1">
      <c r="A20" s="102"/>
      <c r="B20" s="19">
        <v>75020</v>
      </c>
      <c r="C20" s="7" t="s">
        <v>76</v>
      </c>
      <c r="D20" s="8">
        <v>2843856</v>
      </c>
      <c r="E20" s="8">
        <v>1524850</v>
      </c>
      <c r="F20" s="20">
        <f>734578+122354+126401+19171+28767</f>
        <v>1031271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</row>
    <row r="21" spans="1:24" ht="48" hidden="1">
      <c r="A21" s="102"/>
      <c r="B21" s="19">
        <v>75045</v>
      </c>
      <c r="C21" s="7" t="s">
        <v>77</v>
      </c>
      <c r="D21" s="8">
        <v>16162</v>
      </c>
      <c r="E21" s="8">
        <v>15620</v>
      </c>
      <c r="F21" s="20">
        <f>276+39+7920</f>
        <v>8235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</row>
    <row r="22" spans="1:24" ht="48" hidden="1">
      <c r="A22" s="102"/>
      <c r="B22" s="19">
        <v>75095</v>
      </c>
      <c r="C22" s="7" t="s">
        <v>74</v>
      </c>
      <c r="D22" s="8">
        <v>152377</v>
      </c>
      <c r="E22" s="8">
        <v>105202</v>
      </c>
      <c r="F22" s="8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</row>
    <row r="23" spans="1:24" s="4" customFormat="1" ht="48" hidden="1">
      <c r="A23" s="103">
        <v>752</v>
      </c>
      <c r="B23" s="26"/>
      <c r="C23" s="15" t="s">
        <v>50</v>
      </c>
      <c r="D23" s="16">
        <v>300</v>
      </c>
      <c r="E23" s="16">
        <v>299</v>
      </c>
      <c r="F23" s="16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 ht="72" hidden="1">
      <c r="A24" s="102"/>
      <c r="B24" s="19">
        <v>75212</v>
      </c>
      <c r="C24" s="7" t="s">
        <v>51</v>
      </c>
      <c r="D24" s="8">
        <v>1000</v>
      </c>
      <c r="E24" s="8">
        <v>0</v>
      </c>
      <c r="F24" s="8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</row>
    <row r="25" spans="1:24" s="4" customFormat="1" ht="84" hidden="1">
      <c r="A25" s="103">
        <v>754</v>
      </c>
      <c r="B25" s="26"/>
      <c r="C25" s="15" t="s">
        <v>106</v>
      </c>
      <c r="D25" s="16">
        <v>2201200</v>
      </c>
      <c r="E25" s="16">
        <v>1130720</v>
      </c>
      <c r="F25" s="16">
        <f>F27+F28</f>
        <v>751230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 s="5" customFormat="1" ht="17.25" hidden="1" customHeight="1">
      <c r="A26" s="102"/>
      <c r="B26" s="19">
        <v>75404</v>
      </c>
      <c r="C26" s="7" t="s">
        <v>107</v>
      </c>
      <c r="D26" s="8">
        <v>30000</v>
      </c>
      <c r="E26" s="8">
        <v>30000</v>
      </c>
      <c r="F26" s="8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 ht="108" hidden="1">
      <c r="A27" s="102"/>
      <c r="B27" s="19">
        <v>75411</v>
      </c>
      <c r="C27" s="7" t="s">
        <v>108</v>
      </c>
      <c r="D27" s="8">
        <v>2090222</v>
      </c>
      <c r="E27" s="8">
        <v>1063335</v>
      </c>
      <c r="F27" s="8">
        <f>6532+639846+116+103411+1168+157</f>
        <v>751230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</row>
    <row r="28" spans="1:24" ht="48" hidden="1">
      <c r="A28" s="102"/>
      <c r="B28" s="19">
        <v>75414</v>
      </c>
      <c r="C28" s="7" t="s">
        <v>78</v>
      </c>
      <c r="D28" s="8">
        <v>0</v>
      </c>
      <c r="E28" s="8">
        <v>0</v>
      </c>
      <c r="F28" s="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</row>
    <row r="29" spans="1:24" s="4" customFormat="1" ht="60" hidden="1">
      <c r="A29" s="103">
        <v>757</v>
      </c>
      <c r="B29" s="26"/>
      <c r="C29" s="15" t="s">
        <v>109</v>
      </c>
      <c r="D29" s="16">
        <v>440685</v>
      </c>
      <c r="E29" s="16">
        <v>249247</v>
      </c>
      <c r="F29" s="16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 ht="23.25" hidden="1" customHeight="1">
      <c r="A30" s="102"/>
      <c r="B30" s="19">
        <v>75702</v>
      </c>
      <c r="C30" s="7" t="s">
        <v>110</v>
      </c>
      <c r="D30" s="8">
        <v>525430</v>
      </c>
      <c r="E30" s="8">
        <v>380834</v>
      </c>
      <c r="F30" s="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spans="1:24" ht="23.25" customHeight="1">
      <c r="A31" s="102">
        <v>750</v>
      </c>
      <c r="B31" s="19"/>
      <c r="C31" s="7"/>
      <c r="D31" s="8">
        <v>6649970</v>
      </c>
      <c r="E31" s="8">
        <v>3154629.56</v>
      </c>
      <c r="F31" s="8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spans="1:24" ht="23.25" customHeight="1">
      <c r="A32" s="102">
        <v>754</v>
      </c>
      <c r="B32" s="19"/>
      <c r="C32" s="7"/>
      <c r="D32" s="8">
        <v>3123298.33</v>
      </c>
      <c r="E32" s="8">
        <v>1516265.65</v>
      </c>
      <c r="F32" s="8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1:24" ht="23.25" customHeight="1">
      <c r="A33" s="102">
        <v>757</v>
      </c>
      <c r="B33" s="19"/>
      <c r="C33" s="7"/>
      <c r="D33" s="8">
        <v>1480000</v>
      </c>
      <c r="E33" s="8">
        <v>707797.79</v>
      </c>
      <c r="F33" s="8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4" spans="1:24" ht="23.25" customHeight="1">
      <c r="A34" s="463">
        <v>758</v>
      </c>
      <c r="B34" s="19"/>
      <c r="C34" s="7"/>
      <c r="D34" s="8">
        <v>5832.32</v>
      </c>
      <c r="E34" s="8">
        <v>0</v>
      </c>
      <c r="F34" s="8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</row>
    <row r="35" spans="1:24" s="4" customFormat="1" ht="60">
      <c r="A35" s="103">
        <v>801</v>
      </c>
      <c r="B35" s="26"/>
      <c r="C35" s="15" t="s">
        <v>54</v>
      </c>
      <c r="D35" s="16">
        <v>14479937.41</v>
      </c>
      <c r="E35" s="16">
        <v>7601326.6900000004</v>
      </c>
      <c r="F35" s="16">
        <f>SUM(F36:F43)</f>
        <v>3689871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 ht="72" hidden="1">
      <c r="A36" s="102"/>
      <c r="B36" s="19">
        <v>80102</v>
      </c>
      <c r="C36" s="7" t="s">
        <v>41</v>
      </c>
      <c r="D36" s="8">
        <v>505078</v>
      </c>
      <c r="E36" s="8">
        <v>331232</v>
      </c>
      <c r="F36" s="20">
        <f>196206+26135+37238+5208+450</f>
        <v>265237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</row>
    <row r="37" spans="1:24" ht="48" hidden="1">
      <c r="A37" s="102"/>
      <c r="B37" s="19">
        <v>80111</v>
      </c>
      <c r="C37" s="7" t="s">
        <v>111</v>
      </c>
      <c r="D37" s="8">
        <v>475749</v>
      </c>
      <c r="E37" s="8">
        <v>298949</v>
      </c>
      <c r="F37" s="20">
        <f>E37-16937</f>
        <v>282012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</row>
    <row r="38" spans="1:24" ht="48" hidden="1">
      <c r="A38" s="102"/>
      <c r="B38" s="19">
        <v>80120</v>
      </c>
      <c r="C38" s="7" t="s">
        <v>47</v>
      </c>
      <c r="D38" s="8">
        <v>6261477</v>
      </c>
      <c r="E38" s="8">
        <f>1416382</f>
        <v>1416382</v>
      </c>
      <c r="F38" s="8">
        <f>719401+108702+140170+19592+5607</f>
        <v>993472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</row>
    <row r="39" spans="1:24" ht="36" hidden="1">
      <c r="A39" s="102"/>
      <c r="B39" s="19">
        <v>80123</v>
      </c>
      <c r="C39" s="7" t="s">
        <v>42</v>
      </c>
      <c r="D39" s="20">
        <v>1774906</v>
      </c>
      <c r="E39" s="20">
        <v>1075369</v>
      </c>
      <c r="F39" s="20">
        <f>584273+89310+117937+15966</f>
        <v>807486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</row>
    <row r="40" spans="1:24" ht="36" hidden="1">
      <c r="A40" s="102"/>
      <c r="B40" s="19">
        <v>80130</v>
      </c>
      <c r="C40" s="7" t="s">
        <v>43</v>
      </c>
      <c r="D40" s="20">
        <v>3313174</v>
      </c>
      <c r="E40" s="20">
        <v>2096781</v>
      </c>
      <c r="F40" s="20">
        <f>916626+140181+184575+25295+11296</f>
        <v>1277973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  <row r="41" spans="1:24" ht="60" hidden="1">
      <c r="A41" s="102"/>
      <c r="B41" s="19">
        <v>80134</v>
      </c>
      <c r="C41" s="7" t="s">
        <v>112</v>
      </c>
      <c r="D41" s="8">
        <v>136812</v>
      </c>
      <c r="E41" s="8">
        <v>72783</v>
      </c>
      <c r="F41" s="8">
        <f>47352+5517+9525+1297</f>
        <v>63691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</row>
    <row r="42" spans="1:24" ht="12.75" hidden="1" customHeight="1">
      <c r="A42" s="102"/>
      <c r="B42" s="19">
        <v>80146</v>
      </c>
      <c r="C42" s="7" t="s">
        <v>84</v>
      </c>
      <c r="D42" s="8">
        <f>54969-11722</f>
        <v>43247</v>
      </c>
      <c r="E42" s="8">
        <v>0</v>
      </c>
      <c r="F42" s="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</row>
    <row r="43" spans="1:24" ht="48" hidden="1">
      <c r="A43" s="102"/>
      <c r="B43" s="19">
        <v>80195</v>
      </c>
      <c r="C43" s="7" t="s">
        <v>74</v>
      </c>
      <c r="D43" s="8">
        <v>64531</v>
      </c>
      <c r="E43" s="8">
        <v>48400</v>
      </c>
      <c r="F43" s="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</row>
    <row r="44" spans="1:24" ht="84" hidden="1">
      <c r="A44" s="102"/>
      <c r="B44" s="19">
        <v>80309</v>
      </c>
      <c r="C44" s="7" t="s">
        <v>122</v>
      </c>
      <c r="D44" s="8">
        <v>49764</v>
      </c>
      <c r="E44" s="8">
        <v>20016</v>
      </c>
      <c r="F44" s="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</row>
    <row r="45" spans="1:24" s="4" customFormat="1" ht="13.5" customHeight="1">
      <c r="A45" s="103">
        <v>851</v>
      </c>
      <c r="B45" s="26"/>
      <c r="C45" s="21" t="s">
        <v>34</v>
      </c>
      <c r="D45" s="16">
        <v>3614172.27</v>
      </c>
      <c r="E45" s="16">
        <v>1287810.1200000001</v>
      </c>
      <c r="F45" s="16">
        <f>F48+F46+F47</f>
        <v>959</v>
      </c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s="5" customFormat="1" ht="12" hidden="1" customHeight="1">
      <c r="A46" s="102"/>
      <c r="B46" s="19">
        <v>85111</v>
      </c>
      <c r="C46" s="9" t="s">
        <v>85</v>
      </c>
      <c r="D46" s="8">
        <v>344145</v>
      </c>
      <c r="E46" s="8">
        <v>44135</v>
      </c>
      <c r="F46" s="8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1:24" s="5" customFormat="1" ht="12.75" hidden="1" customHeight="1">
      <c r="A47" s="102"/>
      <c r="B47" s="19">
        <v>85154</v>
      </c>
      <c r="C47" s="9" t="s">
        <v>86</v>
      </c>
      <c r="D47" s="8">
        <v>26380</v>
      </c>
      <c r="E47" s="8">
        <v>5206</v>
      </c>
      <c r="F47" s="8">
        <v>959</v>
      </c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spans="1:24" hidden="1">
      <c r="A48" s="102"/>
      <c r="B48" s="19">
        <v>85156</v>
      </c>
      <c r="C48" s="11" t="s">
        <v>87</v>
      </c>
      <c r="D48" s="8">
        <v>1168000</v>
      </c>
      <c r="E48" s="8">
        <v>433496</v>
      </c>
      <c r="F48" s="8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</row>
    <row r="49" spans="1:24" ht="48" hidden="1">
      <c r="A49" s="102"/>
      <c r="B49" s="19">
        <v>85195</v>
      </c>
      <c r="C49" s="7" t="s">
        <v>74</v>
      </c>
      <c r="D49" s="8">
        <v>2000</v>
      </c>
      <c r="E49" s="8">
        <v>0</v>
      </c>
      <c r="F49" s="8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</row>
    <row r="50" spans="1:24" s="4" customFormat="1" ht="48">
      <c r="A50" s="103">
        <v>852</v>
      </c>
      <c r="B50" s="26"/>
      <c r="C50" s="15" t="s">
        <v>35</v>
      </c>
      <c r="D50" s="16">
        <v>10646600.890000001</v>
      </c>
      <c r="E50" s="16">
        <v>4486602.18</v>
      </c>
      <c r="F50" s="16">
        <f>F53+F56+F51+F52+F54+F57</f>
        <v>684308</v>
      </c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 s="5" customFormat="1" ht="12.75" hidden="1" customHeight="1">
      <c r="A51" s="102"/>
      <c r="B51" s="19">
        <v>85201</v>
      </c>
      <c r="C51" s="7" t="s">
        <v>88</v>
      </c>
      <c r="D51" s="8">
        <v>1748865</v>
      </c>
      <c r="E51" s="8">
        <v>862369</v>
      </c>
      <c r="F51" s="8">
        <f>343035+60335+70550+10165+19956</f>
        <v>504041</v>
      </c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24" s="5" customFormat="1" ht="60" hidden="1">
      <c r="A52" s="102"/>
      <c r="B52" s="19">
        <v>85202</v>
      </c>
      <c r="C52" s="7" t="s">
        <v>89</v>
      </c>
      <c r="D52" s="8">
        <v>2496156</v>
      </c>
      <c r="E52" s="8">
        <v>1300359</v>
      </c>
      <c r="F52" s="8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spans="1:24" ht="48" hidden="1">
      <c r="A53" s="102"/>
      <c r="B53" s="19">
        <v>85203</v>
      </c>
      <c r="C53" s="7" t="s">
        <v>90</v>
      </c>
      <c r="D53" s="8">
        <v>243003</v>
      </c>
      <c r="E53" s="20">
        <v>114960</v>
      </c>
      <c r="F53" s="20">
        <f>61257+5173+12453+1920+6180</f>
        <v>86983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</row>
    <row r="54" spans="1:24" ht="48" hidden="1">
      <c r="A54" s="102"/>
      <c r="B54" s="19">
        <v>85204</v>
      </c>
      <c r="C54" s="7" t="s">
        <v>113</v>
      </c>
      <c r="D54" s="8">
        <v>1245313</v>
      </c>
      <c r="E54" s="8">
        <v>596254</v>
      </c>
      <c r="F54" s="20">
        <f>2012+278+12897</f>
        <v>15187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</row>
    <row r="55" spans="1:24" ht="37.5" hidden="1" customHeight="1">
      <c r="A55" s="102"/>
      <c r="B55" s="19">
        <v>85212</v>
      </c>
      <c r="C55" s="7" t="s">
        <v>114</v>
      </c>
      <c r="D55" s="8">
        <v>12784</v>
      </c>
      <c r="E55" s="8">
        <v>6000</v>
      </c>
      <c r="F55" s="20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</row>
    <row r="56" spans="1:24" ht="12.75" hidden="1" customHeight="1">
      <c r="A56" s="102"/>
      <c r="B56" s="19">
        <v>85216</v>
      </c>
      <c r="C56" s="7" t="s">
        <v>91</v>
      </c>
      <c r="D56" s="8">
        <v>0</v>
      </c>
      <c r="E56" s="8">
        <v>0</v>
      </c>
      <c r="F56" s="8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</row>
    <row r="57" spans="1:24" ht="12.75" hidden="1" customHeight="1">
      <c r="A57" s="102"/>
      <c r="B57" s="19">
        <v>85218</v>
      </c>
      <c r="C57" s="7" t="s">
        <v>92</v>
      </c>
      <c r="D57" s="8">
        <v>273622</v>
      </c>
      <c r="E57" s="8">
        <v>125136</v>
      </c>
      <c r="F57" s="20">
        <f>53563+10904+10074+2006+1550</f>
        <v>78097</v>
      </c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</row>
    <row r="58" spans="1:24" ht="12.75" hidden="1" customHeight="1">
      <c r="A58" s="102"/>
      <c r="B58" s="19">
        <v>85233</v>
      </c>
      <c r="C58" s="7" t="s">
        <v>84</v>
      </c>
      <c r="D58" s="8">
        <v>4015</v>
      </c>
      <c r="E58" s="8">
        <v>0</v>
      </c>
      <c r="F58" s="20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</row>
    <row r="59" spans="1:24" ht="12.75" hidden="1" customHeight="1">
      <c r="A59" s="102"/>
      <c r="B59" s="19">
        <v>85295</v>
      </c>
      <c r="C59" s="7" t="s">
        <v>74</v>
      </c>
      <c r="D59" s="8">
        <v>7000</v>
      </c>
      <c r="E59" s="8">
        <v>7000</v>
      </c>
      <c r="F59" s="20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</row>
    <row r="60" spans="1:24" s="4" customFormat="1" ht="108">
      <c r="A60" s="103">
        <v>853</v>
      </c>
      <c r="B60" s="26"/>
      <c r="C60" s="15" t="s">
        <v>115</v>
      </c>
      <c r="D60" s="16">
        <v>3361092.24</v>
      </c>
      <c r="E60" s="16">
        <v>1970526.69</v>
      </c>
      <c r="F60" s="16">
        <f>F61+F62</f>
        <v>419015</v>
      </c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 ht="12" hidden="1" customHeight="1">
      <c r="A61" s="578"/>
      <c r="B61" s="19">
        <v>85321</v>
      </c>
      <c r="C61" s="7" t="s">
        <v>116</v>
      </c>
      <c r="D61" s="8">
        <v>71000</v>
      </c>
      <c r="E61" s="8">
        <v>32763</v>
      </c>
      <c r="F61" s="8">
        <f>12229+2910+2329+424+2484</f>
        <v>20376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</row>
    <row r="62" spans="1:24" ht="14.25" hidden="1" customHeight="1">
      <c r="A62" s="578"/>
      <c r="B62" s="19">
        <v>85333</v>
      </c>
      <c r="C62" s="22" t="s">
        <v>94</v>
      </c>
      <c r="D62" s="8">
        <v>873528</v>
      </c>
      <c r="E62" s="8">
        <v>451979</v>
      </c>
      <c r="F62" s="8">
        <f>280495+55514+50402+7070+5158</f>
        <v>398639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</row>
    <row r="63" spans="1:24" ht="14.25" hidden="1" customHeight="1">
      <c r="A63" s="578"/>
      <c r="B63" s="19">
        <v>85334</v>
      </c>
      <c r="C63" s="9" t="s">
        <v>125</v>
      </c>
      <c r="D63" s="8">
        <v>55903</v>
      </c>
      <c r="E63" s="8">
        <v>55903</v>
      </c>
      <c r="F63" s="8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</row>
    <row r="64" spans="1:24" s="4" customFormat="1" ht="12.75" customHeight="1">
      <c r="A64" s="104">
        <v>854</v>
      </c>
      <c r="B64" s="26" t="s">
        <v>12</v>
      </c>
      <c r="C64" s="23" t="s">
        <v>95</v>
      </c>
      <c r="D64" s="16">
        <v>4528319.0199999996</v>
      </c>
      <c r="E64" s="16">
        <v>2491605.9300000002</v>
      </c>
      <c r="F64" s="16">
        <f>SUM(F65:F72)</f>
        <v>901223</v>
      </c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 ht="96" hidden="1">
      <c r="A65" s="578"/>
      <c r="B65" s="19">
        <v>85406</v>
      </c>
      <c r="C65" s="22" t="s">
        <v>44</v>
      </c>
      <c r="D65" s="8">
        <v>465439</v>
      </c>
      <c r="E65" s="8">
        <v>284568</v>
      </c>
      <c r="F65" s="20">
        <f>170636+27331+34466+5276+1881</f>
        <v>239590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</row>
    <row r="66" spans="1:24" ht="12.75" hidden="1" customHeight="1">
      <c r="A66" s="578"/>
      <c r="B66" s="19">
        <v>85407</v>
      </c>
      <c r="C66" s="22" t="s">
        <v>45</v>
      </c>
      <c r="D66" s="8">
        <v>313359</v>
      </c>
      <c r="E66" s="8">
        <v>185895</v>
      </c>
      <c r="F66" s="20">
        <f>80368+12184+14222+2210+43058</f>
        <v>152042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</row>
    <row r="67" spans="1:24" ht="60" hidden="1">
      <c r="A67" s="578"/>
      <c r="B67" s="19">
        <v>85410</v>
      </c>
      <c r="C67" s="22" t="s">
        <v>46</v>
      </c>
      <c r="D67" s="20">
        <v>869259</v>
      </c>
      <c r="E67" s="8">
        <v>622117</v>
      </c>
      <c r="F67" s="20">
        <f>187642+37269+50719+6507</f>
        <v>282137</v>
      </c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</row>
    <row r="68" spans="1:24" ht="33" hidden="1" customHeight="1">
      <c r="A68" s="578"/>
      <c r="B68" s="19">
        <v>85412</v>
      </c>
      <c r="C68" s="10" t="s">
        <v>126</v>
      </c>
      <c r="D68" s="20">
        <v>26</v>
      </c>
      <c r="E68" s="8"/>
      <c r="F68" s="20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</row>
    <row r="69" spans="1:24" ht="84" hidden="1">
      <c r="A69" s="578"/>
      <c r="B69" s="19">
        <v>85415</v>
      </c>
      <c r="C69" s="7" t="s">
        <v>97</v>
      </c>
      <c r="D69" s="20">
        <v>311309</v>
      </c>
      <c r="E69" s="8">
        <v>89163</v>
      </c>
      <c r="F69" s="20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</row>
    <row r="70" spans="1:24" ht="84" hidden="1">
      <c r="A70" s="578"/>
      <c r="B70" s="19">
        <v>85420</v>
      </c>
      <c r="C70" s="22" t="s">
        <v>119</v>
      </c>
      <c r="D70" s="20">
        <v>737219</v>
      </c>
      <c r="E70" s="8">
        <v>365313</v>
      </c>
      <c r="F70" s="20">
        <f>192739+2379+27686+4650</f>
        <v>227454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</row>
    <row r="71" spans="1:24" ht="12" hidden="1" customHeight="1">
      <c r="A71" s="578"/>
      <c r="B71" s="19">
        <v>85446</v>
      </c>
      <c r="C71" s="7" t="s">
        <v>84</v>
      </c>
      <c r="D71" s="20">
        <v>7707</v>
      </c>
      <c r="E71" s="8">
        <v>0</v>
      </c>
      <c r="F71" s="20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</row>
    <row r="72" spans="1:24" ht="48" hidden="1">
      <c r="A72" s="578"/>
      <c r="B72" s="19">
        <v>85495</v>
      </c>
      <c r="C72" s="22" t="s">
        <v>74</v>
      </c>
      <c r="D72" s="8">
        <v>11690</v>
      </c>
      <c r="E72" s="8">
        <v>8766</v>
      </c>
      <c r="F72" s="8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</row>
    <row r="73" spans="1:24" s="4" customFormat="1" ht="108" hidden="1">
      <c r="A73" s="103">
        <v>921</v>
      </c>
      <c r="B73" s="24"/>
      <c r="C73" s="15" t="s">
        <v>117</v>
      </c>
      <c r="D73" s="16">
        <f>D74+D75</f>
        <v>0</v>
      </c>
      <c r="E73" s="16">
        <f>E74+E75</f>
        <v>0</v>
      </c>
      <c r="F73" s="16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 ht="84" hidden="1">
      <c r="A74" s="578"/>
      <c r="B74" s="25">
        <v>92105</v>
      </c>
      <c r="C74" s="7" t="s">
        <v>118</v>
      </c>
      <c r="D74" s="8">
        <v>0</v>
      </c>
      <c r="E74" s="8"/>
      <c r="F74" s="8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</row>
    <row r="75" spans="1:24" ht="48" hidden="1">
      <c r="A75" s="578"/>
      <c r="B75" s="25">
        <v>92195</v>
      </c>
      <c r="C75" s="7" t="s">
        <v>74</v>
      </c>
      <c r="D75" s="8">
        <v>0</v>
      </c>
      <c r="E75" s="8">
        <v>0</v>
      </c>
      <c r="F75" s="8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</row>
    <row r="76" spans="1:24">
      <c r="A76" s="463">
        <v>900</v>
      </c>
      <c r="B76" s="25"/>
      <c r="C76" s="7"/>
      <c r="D76" s="8">
        <v>2914609.89</v>
      </c>
      <c r="E76" s="8">
        <v>1406.7</v>
      </c>
      <c r="F76" s="8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</row>
    <row r="77" spans="1:24" ht="30" customHeight="1">
      <c r="A77" s="103">
        <v>921</v>
      </c>
      <c r="B77" s="25"/>
      <c r="C77" s="15" t="s">
        <v>137</v>
      </c>
      <c r="D77" s="16">
        <v>72500</v>
      </c>
      <c r="E77" s="16">
        <v>31400</v>
      </c>
      <c r="F77" s="8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</row>
    <row r="78" spans="1:24" s="4" customFormat="1" ht="60">
      <c r="A78" s="103">
        <v>926</v>
      </c>
      <c r="B78" s="24"/>
      <c r="C78" s="15" t="s">
        <v>98</v>
      </c>
      <c r="D78" s="16">
        <v>1087781.82</v>
      </c>
      <c r="E78" s="16">
        <v>46904.25</v>
      </c>
      <c r="F78" s="16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 ht="96" hidden="1">
      <c r="A79" s="102"/>
      <c r="B79" s="25">
        <v>92605</v>
      </c>
      <c r="C79" s="7" t="s">
        <v>99</v>
      </c>
      <c r="D79" s="8">
        <v>51000</v>
      </c>
      <c r="E79" s="33">
        <v>25029</v>
      </c>
      <c r="F79" s="8">
        <v>0</v>
      </c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</row>
    <row r="80" spans="1:24">
      <c r="A80" s="105"/>
      <c r="D80" s="29">
        <f>D78+D77+D64+D60+D50+D45+D35+D33+D32+D31+D12+D10+D8+D5+D2+D34+D76</f>
        <v>55330966.949999996</v>
      </c>
      <c r="E80" s="29">
        <f>E78+E77+E64+E60+E50+E45+E35+E33+E32+E31+E12+E10+E8+E5+E2+E34+E76</f>
        <v>24816235.839999996</v>
      </c>
    </row>
    <row r="81" spans="1:1">
      <c r="A81" s="105"/>
    </row>
    <row r="82" spans="1:1">
      <c r="A82" s="105"/>
    </row>
    <row r="93" spans="1:1" ht="74.25" customHeight="1"/>
    <row r="94" spans="1:1" ht="23.25" customHeight="1"/>
    <row r="103" spans="1:6" ht="45" customHeight="1"/>
    <row r="110" spans="1:6" ht="3" customHeight="1"/>
    <row r="111" spans="1:6" ht="15" hidden="1">
      <c r="A111" s="577"/>
      <c r="B111" s="577"/>
      <c r="C111" s="577"/>
      <c r="D111" s="577"/>
      <c r="E111" s="577"/>
      <c r="F111" s="577"/>
    </row>
    <row r="112" spans="1:6" hidden="1"/>
    <row r="113" hidden="1"/>
    <row r="118" ht="30.75" customHeight="1"/>
    <row r="119" hidden="1"/>
    <row r="120" hidden="1"/>
    <row r="121" hidden="1"/>
    <row r="122" hidden="1"/>
    <row r="123" hidden="1"/>
    <row r="124" hidden="1"/>
    <row r="125" hidden="1"/>
    <row r="126" hidden="1"/>
  </sheetData>
  <mergeCells count="4">
    <mergeCell ref="A111:F111"/>
    <mergeCell ref="A61:A63"/>
    <mergeCell ref="A65:A72"/>
    <mergeCell ref="A74:A75"/>
  </mergeCells>
  <phoneticPr fontId="0" type="noConversion"/>
  <pageMargins left="2.0833333333333332E-2" right="0.36458333333333331" top="0.59" bottom="0.33" header="0.36" footer="0.18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85"/>
  <sheetViews>
    <sheetView view="pageLayout" topLeftCell="A10" workbookViewId="0">
      <selection activeCell="I20" sqref="I20"/>
    </sheetView>
  </sheetViews>
  <sheetFormatPr defaultRowHeight="12.75"/>
  <cols>
    <col min="1" max="1" width="4.85546875" style="44" customWidth="1"/>
    <col min="2" max="2" width="6.42578125" style="44" customWidth="1"/>
    <col min="3" max="3" width="7.28515625" style="44" customWidth="1"/>
    <col min="4" max="4" width="6.28515625" style="44" customWidth="1"/>
    <col min="5" max="5" width="29.5703125" style="44" customWidth="1"/>
    <col min="6" max="6" width="11.85546875" style="44" customWidth="1"/>
    <col min="7" max="7" width="12.140625" style="44" customWidth="1"/>
    <col min="8" max="16384" width="9.140625" style="44"/>
  </cols>
  <sheetData>
    <row r="1" spans="1:9">
      <c r="G1" s="580" t="s">
        <v>270</v>
      </c>
      <c r="H1" s="580"/>
    </row>
    <row r="4" spans="1:9" ht="15.75" customHeight="1">
      <c r="A4" s="579" t="s">
        <v>175</v>
      </c>
      <c r="B4" s="579"/>
      <c r="C4" s="579"/>
      <c r="D4" s="579"/>
      <c r="E4" s="579"/>
      <c r="F4" s="579"/>
      <c r="G4" s="579"/>
      <c r="H4" s="579"/>
    </row>
    <row r="5" spans="1:9" ht="15.75" customHeight="1">
      <c r="A5" s="579" t="s">
        <v>176</v>
      </c>
      <c r="B5" s="579"/>
      <c r="C5" s="579"/>
      <c r="D5" s="579"/>
      <c r="E5" s="579"/>
      <c r="F5" s="579"/>
      <c r="G5" s="579"/>
      <c r="H5" s="579"/>
    </row>
    <row r="6" spans="1:9" ht="15.75" customHeight="1">
      <c r="A6" s="579" t="s">
        <v>318</v>
      </c>
      <c r="B6" s="579"/>
      <c r="C6" s="579"/>
      <c r="D6" s="579"/>
      <c r="E6" s="579"/>
      <c r="F6" s="579"/>
      <c r="G6" s="579"/>
      <c r="H6" s="579"/>
    </row>
    <row r="7" spans="1:9" ht="15.75">
      <c r="A7" s="122"/>
      <c r="B7" s="122"/>
      <c r="C7" s="122"/>
      <c r="D7" s="122"/>
      <c r="E7" s="123"/>
      <c r="F7" s="110"/>
    </row>
    <row r="8" spans="1:9" ht="15.75" customHeight="1">
      <c r="A8" s="256"/>
      <c r="B8" s="256"/>
      <c r="C8" s="256"/>
      <c r="D8" s="256"/>
      <c r="E8" s="256"/>
      <c r="G8" s="257" t="s">
        <v>162</v>
      </c>
    </row>
    <row r="9" spans="1:9" ht="25.5">
      <c r="A9" s="261" t="s">
        <v>173</v>
      </c>
      <c r="B9" s="261" t="s">
        <v>0</v>
      </c>
      <c r="C9" s="261" t="s">
        <v>8</v>
      </c>
      <c r="D9" s="261" t="s">
        <v>63</v>
      </c>
      <c r="E9" s="261" t="s">
        <v>254</v>
      </c>
      <c r="F9" s="262" t="s">
        <v>269</v>
      </c>
      <c r="G9" s="263" t="s">
        <v>268</v>
      </c>
      <c r="H9" s="263" t="s">
        <v>136</v>
      </c>
    </row>
    <row r="10" spans="1:9">
      <c r="A10" s="258">
        <v>1</v>
      </c>
      <c r="B10" s="258">
        <v>2</v>
      </c>
      <c r="C10" s="258">
        <v>3</v>
      </c>
      <c r="D10" s="258">
        <v>4</v>
      </c>
      <c r="E10" s="258">
        <v>5</v>
      </c>
      <c r="F10" s="258">
        <v>6</v>
      </c>
      <c r="G10" s="258">
        <v>7</v>
      </c>
      <c r="H10" s="258">
        <v>8</v>
      </c>
    </row>
    <row r="11" spans="1:9" ht="27" customHeight="1">
      <c r="A11" s="259">
        <v>1</v>
      </c>
      <c r="B11" s="259">
        <v>801</v>
      </c>
      <c r="C11" s="259">
        <v>80120</v>
      </c>
      <c r="D11" s="259">
        <v>2540</v>
      </c>
      <c r="E11" s="461" t="s">
        <v>255</v>
      </c>
      <c r="F11" s="265">
        <v>62974.8</v>
      </c>
      <c r="G11" s="264">
        <v>33113.57</v>
      </c>
      <c r="H11" s="46">
        <f>G11/F11*100</f>
        <v>52.582255124271924</v>
      </c>
      <c r="I11" s="179"/>
    </row>
    <row r="12" spans="1:9" ht="26.25" customHeight="1">
      <c r="A12" s="259">
        <v>2</v>
      </c>
      <c r="B12" s="259">
        <v>801</v>
      </c>
      <c r="C12" s="259">
        <v>80120</v>
      </c>
      <c r="D12" s="259">
        <v>2540</v>
      </c>
      <c r="E12" s="461" t="s">
        <v>256</v>
      </c>
      <c r="F12" s="265">
        <v>8996.4</v>
      </c>
      <c r="G12" s="264">
        <v>0</v>
      </c>
      <c r="H12" s="46">
        <f t="shared" ref="H12:H22" si="0">G12/F12*100</f>
        <v>0</v>
      </c>
    </row>
    <row r="13" spans="1:9" ht="27" customHeight="1">
      <c r="A13" s="259">
        <v>3</v>
      </c>
      <c r="B13" s="259">
        <v>801</v>
      </c>
      <c r="C13" s="259">
        <v>80120</v>
      </c>
      <c r="D13" s="259">
        <v>2540</v>
      </c>
      <c r="E13" s="461" t="s">
        <v>257</v>
      </c>
      <c r="F13" s="265">
        <v>357429.6</v>
      </c>
      <c r="G13" s="264">
        <v>157080.79999999999</v>
      </c>
      <c r="H13" s="46">
        <f t="shared" si="0"/>
        <v>43.947339560014051</v>
      </c>
    </row>
    <row r="14" spans="1:9" s="179" customFormat="1" ht="24.75" customHeight="1">
      <c r="A14" s="259">
        <v>4</v>
      </c>
      <c r="B14" s="259">
        <v>801</v>
      </c>
      <c r="C14" s="259">
        <v>80120</v>
      </c>
      <c r="D14" s="259">
        <v>2540</v>
      </c>
      <c r="E14" s="461" t="s">
        <v>428</v>
      </c>
      <c r="F14" s="265">
        <v>455094.96</v>
      </c>
      <c r="G14" s="264">
        <v>236048.05</v>
      </c>
      <c r="H14" s="46">
        <f t="shared" si="0"/>
        <v>51.867867312791148</v>
      </c>
      <c r="I14" s="44"/>
    </row>
    <row r="15" spans="1:9" ht="25.5" customHeight="1">
      <c r="A15" s="259">
        <v>5</v>
      </c>
      <c r="B15" s="259">
        <v>801</v>
      </c>
      <c r="C15" s="259">
        <v>80120</v>
      </c>
      <c r="D15" s="259">
        <v>2540</v>
      </c>
      <c r="E15" s="461" t="s">
        <v>258</v>
      </c>
      <c r="F15" s="265">
        <v>202419</v>
      </c>
      <c r="G15" s="264">
        <v>106690.5</v>
      </c>
      <c r="H15" s="46">
        <f t="shared" si="0"/>
        <v>52.707749766573301</v>
      </c>
    </row>
    <row r="16" spans="1:9" s="227" customFormat="1" ht="25.5" customHeight="1">
      <c r="A16" s="259">
        <v>6</v>
      </c>
      <c r="B16" s="259">
        <v>801</v>
      </c>
      <c r="C16" s="259">
        <v>80120</v>
      </c>
      <c r="D16" s="259">
        <v>2540</v>
      </c>
      <c r="E16" s="461" t="s">
        <v>427</v>
      </c>
      <c r="F16" s="265">
        <v>116953.2</v>
      </c>
      <c r="G16" s="264">
        <v>56585.48</v>
      </c>
      <c r="H16" s="46">
        <f t="shared" si="0"/>
        <v>48.383011324187798</v>
      </c>
    </row>
    <row r="17" spans="1:9" ht="25.5">
      <c r="A17" s="259">
        <v>7</v>
      </c>
      <c r="B17" s="259">
        <v>801</v>
      </c>
      <c r="C17" s="259">
        <v>80123</v>
      </c>
      <c r="D17" s="259">
        <v>2540</v>
      </c>
      <c r="E17" s="461" t="s">
        <v>259</v>
      </c>
      <c r="F17" s="265">
        <v>226684.79999999999</v>
      </c>
      <c r="G17" s="264">
        <v>114765.35</v>
      </c>
      <c r="H17" s="46">
        <f t="shared" si="0"/>
        <v>50.627721841076244</v>
      </c>
      <c r="I17" s="179"/>
    </row>
    <row r="18" spans="1:9" ht="24.75" customHeight="1">
      <c r="A18" s="259">
        <v>8</v>
      </c>
      <c r="B18" s="259">
        <v>801</v>
      </c>
      <c r="C18" s="259">
        <v>80130</v>
      </c>
      <c r="D18" s="259">
        <v>2540</v>
      </c>
      <c r="E18" s="461" t="s">
        <v>160</v>
      </c>
      <c r="F18" s="265">
        <v>292801.2</v>
      </c>
      <c r="G18" s="264">
        <v>140030.24</v>
      </c>
      <c r="H18" s="46">
        <f t="shared" si="0"/>
        <v>47.824339517734209</v>
      </c>
    </row>
    <row r="19" spans="1:9" s="179" customFormat="1" ht="25.5">
      <c r="A19" s="259">
        <v>9</v>
      </c>
      <c r="B19" s="259">
        <v>801</v>
      </c>
      <c r="C19" s="259">
        <v>80130</v>
      </c>
      <c r="D19" s="259">
        <v>2540</v>
      </c>
      <c r="E19" s="461" t="s">
        <v>161</v>
      </c>
      <c r="F19" s="265">
        <v>222906.72</v>
      </c>
      <c r="G19" s="264">
        <v>95775.4</v>
      </c>
      <c r="H19" s="46">
        <f t="shared" si="0"/>
        <v>42.966582613570374</v>
      </c>
      <c r="I19" s="44"/>
    </row>
    <row r="20" spans="1:9" s="181" customFormat="1" ht="38.25">
      <c r="A20" s="259">
        <v>10</v>
      </c>
      <c r="B20" s="259">
        <v>801</v>
      </c>
      <c r="C20" s="259">
        <v>80144</v>
      </c>
      <c r="D20" s="259">
        <v>2540</v>
      </c>
      <c r="E20" s="461" t="s">
        <v>197</v>
      </c>
      <c r="F20" s="265">
        <v>196076.4</v>
      </c>
      <c r="G20" s="264">
        <v>60093.9</v>
      </c>
      <c r="H20" s="46">
        <f t="shared" si="0"/>
        <v>30.648206515419503</v>
      </c>
      <c r="I20" s="110"/>
    </row>
    <row r="21" spans="1:9" ht="27.75" customHeight="1">
      <c r="A21" s="259">
        <v>11</v>
      </c>
      <c r="B21" s="259">
        <v>854</v>
      </c>
      <c r="C21" s="259">
        <v>85419</v>
      </c>
      <c r="D21" s="259">
        <v>2540</v>
      </c>
      <c r="E21" s="461" t="s">
        <v>174</v>
      </c>
      <c r="F21" s="265">
        <v>1376911.68</v>
      </c>
      <c r="G21" s="264">
        <v>657849.78</v>
      </c>
      <c r="H21" s="46">
        <f t="shared" si="0"/>
        <v>47.77719512118599</v>
      </c>
      <c r="I21" s="110"/>
    </row>
    <row r="22" spans="1:9">
      <c r="A22" s="581" t="s">
        <v>159</v>
      </c>
      <c r="B22" s="581"/>
      <c r="C22" s="581"/>
      <c r="D22" s="581"/>
      <c r="E22" s="581"/>
      <c r="F22" s="266">
        <f>SUM(F11:F21)</f>
        <v>3519248.76</v>
      </c>
      <c r="G22" s="267">
        <f>SUM(G11:G21)</f>
        <v>1658033.0699999998</v>
      </c>
      <c r="H22" s="128">
        <f t="shared" si="0"/>
        <v>47.11326715079953</v>
      </c>
    </row>
    <row r="23" spans="1:9" ht="15">
      <c r="A23" s="254"/>
      <c r="B23"/>
      <c r="C23"/>
      <c r="D23"/>
      <c r="E23"/>
      <c r="F23"/>
    </row>
    <row r="24" spans="1:9" ht="15">
      <c r="A24" s="254"/>
      <c r="B24"/>
      <c r="C24"/>
      <c r="D24"/>
      <c r="E24"/>
      <c r="F24"/>
    </row>
    <row r="25" spans="1:9" ht="15">
      <c r="A25" s="254"/>
      <c r="B25"/>
      <c r="C25"/>
      <c r="D25"/>
      <c r="E25"/>
      <c r="F25"/>
    </row>
    <row r="26" spans="1:9" ht="15">
      <c r="A26" s="254"/>
      <c r="B26"/>
      <c r="C26"/>
      <c r="D26"/>
      <c r="E26"/>
      <c r="F26"/>
    </row>
    <row r="27" spans="1:9" ht="15">
      <c r="A27" s="254"/>
      <c r="B27"/>
      <c r="C27"/>
      <c r="D27"/>
      <c r="E27"/>
      <c r="F27"/>
    </row>
    <row r="28" spans="1:9" ht="15">
      <c r="A28" s="254"/>
      <c r="B28"/>
      <c r="C28"/>
      <c r="D28"/>
      <c r="E28"/>
      <c r="F28"/>
    </row>
    <row r="29" spans="1:9" ht="15">
      <c r="A29" s="254"/>
      <c r="B29"/>
      <c r="C29"/>
      <c r="D29"/>
      <c r="E29"/>
      <c r="F29"/>
    </row>
    <row r="30" spans="1:9" ht="15">
      <c r="A30" s="254"/>
      <c r="B30"/>
      <c r="C30"/>
      <c r="D30"/>
      <c r="E30"/>
      <c r="F30"/>
    </row>
    <row r="31" spans="1:9" ht="15">
      <c r="A31" s="254"/>
      <c r="B31"/>
      <c r="C31"/>
      <c r="D31"/>
      <c r="E31"/>
      <c r="F31"/>
    </row>
    <row r="32" spans="1:9" ht="15">
      <c r="A32" s="254"/>
      <c r="B32"/>
      <c r="C32"/>
      <c r="D32"/>
      <c r="E32"/>
      <c r="F32"/>
    </row>
    <row r="33" spans="1:6" ht="15">
      <c r="A33" s="254"/>
      <c r="B33"/>
      <c r="C33"/>
      <c r="D33"/>
      <c r="E33"/>
      <c r="F33"/>
    </row>
    <row r="34" spans="1:6" ht="15">
      <c r="A34" s="254"/>
      <c r="B34"/>
      <c r="C34"/>
      <c r="D34"/>
      <c r="E34"/>
      <c r="F34"/>
    </row>
    <row r="35" spans="1:6" ht="15">
      <c r="A35" s="254"/>
      <c r="B35"/>
      <c r="C35"/>
      <c r="D35"/>
      <c r="E35"/>
      <c r="F35"/>
    </row>
    <row r="36" spans="1:6">
      <c r="F36"/>
    </row>
    <row r="37" spans="1:6">
      <c r="F37"/>
    </row>
    <row r="38" spans="1:6">
      <c r="F38"/>
    </row>
    <row r="39" spans="1:6">
      <c r="F39"/>
    </row>
    <row r="40" spans="1:6">
      <c r="F40"/>
    </row>
    <row r="41" spans="1:6">
      <c r="F41"/>
    </row>
    <row r="42" spans="1:6">
      <c r="F42"/>
    </row>
    <row r="43" spans="1:6">
      <c r="F43"/>
    </row>
    <row r="44" spans="1:6">
      <c r="F44"/>
    </row>
    <row r="45" spans="1:6">
      <c r="F45"/>
    </row>
    <row r="46" spans="1:6">
      <c r="F46"/>
    </row>
    <row r="47" spans="1:6">
      <c r="F47"/>
    </row>
    <row r="48" spans="1:6" ht="15.75" customHeight="1">
      <c r="F48"/>
    </row>
    <row r="49" spans="1:6" ht="15.75" customHeight="1">
      <c r="F49"/>
    </row>
    <row r="50" spans="1:6">
      <c r="F50"/>
    </row>
    <row r="51" spans="1:6">
      <c r="F51"/>
    </row>
    <row r="52" spans="1:6">
      <c r="F52"/>
    </row>
    <row r="53" spans="1:6" ht="15">
      <c r="A53" s="254"/>
      <c r="B53"/>
      <c r="C53"/>
      <c r="D53"/>
      <c r="E53"/>
      <c r="F53"/>
    </row>
    <row r="54" spans="1:6" ht="15">
      <c r="A54" s="254"/>
      <c r="B54"/>
      <c r="C54"/>
      <c r="D54"/>
      <c r="E54"/>
      <c r="F54"/>
    </row>
    <row r="55" spans="1:6" ht="15">
      <c r="A55" s="254"/>
      <c r="B55"/>
      <c r="C55"/>
      <c r="D55"/>
      <c r="E55"/>
      <c r="F55"/>
    </row>
    <row r="56" spans="1:6" ht="15">
      <c r="A56" s="254"/>
      <c r="B56"/>
      <c r="C56"/>
      <c r="D56"/>
      <c r="E56"/>
      <c r="F56"/>
    </row>
    <row r="57" spans="1:6" ht="15">
      <c r="A57" s="254"/>
      <c r="B57"/>
      <c r="C57"/>
      <c r="D57"/>
      <c r="E57"/>
      <c r="F57"/>
    </row>
    <row r="58" spans="1:6" ht="15">
      <c r="A58" s="254"/>
      <c r="B58"/>
      <c r="C58"/>
      <c r="D58"/>
      <c r="E58"/>
      <c r="F58"/>
    </row>
    <row r="59" spans="1:6" ht="15">
      <c r="A59" s="254"/>
      <c r="B59"/>
      <c r="C59"/>
      <c r="D59"/>
      <c r="E59"/>
      <c r="F59"/>
    </row>
    <row r="60" spans="1:6" ht="15">
      <c r="A60" s="254"/>
      <c r="B60"/>
      <c r="C60"/>
      <c r="D60"/>
      <c r="E60"/>
      <c r="F60"/>
    </row>
    <row r="61" spans="1:6" ht="15">
      <c r="A61" s="254"/>
      <c r="B61"/>
      <c r="C61"/>
      <c r="D61"/>
      <c r="E61"/>
      <c r="F61"/>
    </row>
    <row r="62" spans="1:6" ht="15">
      <c r="A62" s="254"/>
      <c r="B62"/>
      <c r="C62"/>
      <c r="D62"/>
      <c r="E62"/>
      <c r="F62"/>
    </row>
    <row r="63" spans="1:6" ht="15">
      <c r="A63" s="254"/>
      <c r="B63"/>
      <c r="C63"/>
      <c r="D63"/>
      <c r="E63"/>
      <c r="F63"/>
    </row>
    <row r="64" spans="1:6" ht="15">
      <c r="A64" s="254"/>
      <c r="B64"/>
      <c r="C64"/>
      <c r="D64"/>
      <c r="E64"/>
      <c r="F64"/>
    </row>
    <row r="65" spans="1:6" ht="15">
      <c r="A65" s="254"/>
      <c r="B65"/>
      <c r="C65"/>
      <c r="D65"/>
      <c r="E65"/>
      <c r="F65"/>
    </row>
    <row r="66" spans="1:6" ht="15">
      <c r="A66" s="254"/>
      <c r="B66"/>
      <c r="C66"/>
      <c r="D66"/>
      <c r="E66"/>
      <c r="F66"/>
    </row>
    <row r="67" spans="1:6" ht="15">
      <c r="A67" s="254"/>
      <c r="B67"/>
      <c r="C67"/>
      <c r="D67"/>
      <c r="E67"/>
      <c r="F67"/>
    </row>
    <row r="68" spans="1:6" ht="15">
      <c r="A68" s="254"/>
      <c r="B68"/>
      <c r="C68"/>
      <c r="D68"/>
      <c r="E68"/>
      <c r="F68"/>
    </row>
    <row r="69" spans="1:6" ht="15">
      <c r="A69" s="254"/>
      <c r="B69"/>
      <c r="C69"/>
      <c r="D69"/>
      <c r="E69"/>
      <c r="F69"/>
    </row>
    <row r="83" ht="15.75" customHeight="1"/>
    <row r="84" ht="15.75" customHeight="1"/>
    <row r="85" ht="15.75" customHeight="1"/>
  </sheetData>
  <mergeCells count="5">
    <mergeCell ref="A4:H4"/>
    <mergeCell ref="A5:H5"/>
    <mergeCell ref="A6:H6"/>
    <mergeCell ref="G1:H1"/>
    <mergeCell ref="A22:E22"/>
  </mergeCells>
  <pageMargins left="0.7" right="0.32" top="0.75" bottom="0.75" header="0.3" footer="0.3"/>
  <pageSetup paperSize="9" orientation="portrait" r:id="rId1"/>
  <headerFooter>
    <oddFooter>&amp;C&amp;"Times New (W1),Normalny"Tabela Nr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H74"/>
  <sheetViews>
    <sheetView view="pageLayout" workbookViewId="0">
      <selection activeCell="E13" sqref="E13"/>
    </sheetView>
  </sheetViews>
  <sheetFormatPr defaultRowHeight="12.75"/>
  <cols>
    <col min="1" max="1" width="3.85546875" style="44" customWidth="1"/>
    <col min="2" max="2" width="5.28515625" style="44" customWidth="1"/>
    <col min="3" max="3" width="6.28515625" style="44" customWidth="1"/>
    <col min="4" max="4" width="5.28515625" style="44" customWidth="1"/>
    <col min="5" max="5" width="31.140625" style="44" customWidth="1"/>
    <col min="6" max="6" width="12" style="44" customWidth="1"/>
    <col min="7" max="7" width="14.42578125" style="44" customWidth="1"/>
    <col min="8" max="8" width="6.85546875" style="44" customWidth="1"/>
    <col min="9" max="16384" width="9.140625" style="44"/>
  </cols>
  <sheetData>
    <row r="1" spans="1:8" ht="15.75" customHeight="1">
      <c r="G1" s="580" t="s">
        <v>271</v>
      </c>
      <c r="H1" s="580"/>
    </row>
    <row r="2" spans="1:8" ht="15.75" customHeight="1">
      <c r="A2" s="582"/>
      <c r="B2" s="582"/>
      <c r="C2" s="582"/>
      <c r="D2" s="582"/>
      <c r="E2" s="582"/>
      <c r="F2" s="582"/>
    </row>
    <row r="3" spans="1:8" ht="15.75" customHeight="1">
      <c r="A3" s="585" t="s">
        <v>260</v>
      </c>
      <c r="B3" s="585"/>
      <c r="C3" s="585"/>
      <c r="D3" s="585"/>
      <c r="E3" s="585"/>
      <c r="F3" s="585"/>
      <c r="G3" s="585"/>
      <c r="H3" s="585"/>
    </row>
    <row r="4" spans="1:8" ht="15.75" customHeight="1">
      <c r="A4" s="585" t="s">
        <v>177</v>
      </c>
      <c r="B4" s="585"/>
      <c r="C4" s="585"/>
      <c r="D4" s="585"/>
      <c r="E4" s="585"/>
      <c r="F4" s="585"/>
      <c r="G4" s="585"/>
      <c r="H4" s="585"/>
    </row>
    <row r="5" spans="1:8" ht="15.75" customHeight="1">
      <c r="A5" s="585" t="s">
        <v>179</v>
      </c>
      <c r="B5" s="585"/>
      <c r="C5" s="585"/>
      <c r="D5" s="585"/>
      <c r="E5" s="585"/>
      <c r="F5" s="585"/>
      <c r="G5" s="585"/>
      <c r="H5" s="585"/>
    </row>
    <row r="6" spans="1:8" s="110" customFormat="1" ht="15.75" customHeight="1">
      <c r="A6" s="585" t="s">
        <v>401</v>
      </c>
      <c r="B6" s="585"/>
      <c r="C6" s="585"/>
      <c r="D6" s="585"/>
      <c r="E6" s="585"/>
      <c r="F6" s="585"/>
      <c r="G6" s="585"/>
      <c r="H6" s="585"/>
    </row>
    <row r="7" spans="1:8" ht="15">
      <c r="A7" s="256"/>
      <c r="B7" s="256"/>
      <c r="C7" s="256"/>
      <c r="D7" s="256"/>
      <c r="E7" s="256"/>
      <c r="G7" s="257" t="s">
        <v>162</v>
      </c>
    </row>
    <row r="8" spans="1:8" ht="25.5">
      <c r="A8" s="261" t="s">
        <v>173</v>
      </c>
      <c r="B8" s="261" t="s">
        <v>0</v>
      </c>
      <c r="C8" s="261" t="s">
        <v>8</v>
      </c>
      <c r="D8" s="261" t="s">
        <v>63</v>
      </c>
      <c r="E8" s="261" t="s">
        <v>178</v>
      </c>
      <c r="F8" s="262" t="s">
        <v>269</v>
      </c>
      <c r="G8" s="263" t="s">
        <v>268</v>
      </c>
      <c r="H8" s="268" t="s">
        <v>136</v>
      </c>
    </row>
    <row r="9" spans="1:8">
      <c r="A9" s="269">
        <v>1</v>
      </c>
      <c r="B9" s="269">
        <v>2</v>
      </c>
      <c r="C9" s="269">
        <v>3</v>
      </c>
      <c r="D9" s="269">
        <v>4</v>
      </c>
      <c r="E9" s="269">
        <v>5</v>
      </c>
      <c r="F9" s="269">
        <v>6</v>
      </c>
      <c r="G9" s="269">
        <v>7</v>
      </c>
      <c r="H9" s="127">
        <v>8</v>
      </c>
    </row>
    <row r="10" spans="1:8" s="227" customFormat="1" ht="48.75" customHeight="1">
      <c r="A10" s="302">
        <v>1</v>
      </c>
      <c r="B10" s="302">
        <v>750</v>
      </c>
      <c r="C10" s="302">
        <v>75075</v>
      </c>
      <c r="D10" s="302">
        <v>2310</v>
      </c>
      <c r="E10" s="334" t="s">
        <v>412</v>
      </c>
      <c r="F10" s="333">
        <v>18000</v>
      </c>
      <c r="G10" s="333">
        <v>0</v>
      </c>
      <c r="H10" s="335">
        <f t="shared" ref="H10" si="0">G10/F10*100</f>
        <v>0</v>
      </c>
    </row>
    <row r="11" spans="1:8" ht="53.25" customHeight="1">
      <c r="A11" s="302">
        <v>2</v>
      </c>
      <c r="B11" s="302">
        <v>852</v>
      </c>
      <c r="C11" s="302">
        <v>85201</v>
      </c>
      <c r="D11" s="302">
        <v>2320</v>
      </c>
      <c r="E11" s="260" t="s">
        <v>431</v>
      </c>
      <c r="F11" s="265">
        <v>195337.56</v>
      </c>
      <c r="G11" s="264">
        <v>96999.21</v>
      </c>
      <c r="H11" s="335">
        <f>G11/F11*100</f>
        <v>49.657224140610751</v>
      </c>
    </row>
    <row r="12" spans="1:8" ht="51">
      <c r="A12" s="302">
        <v>4</v>
      </c>
      <c r="B12" s="302">
        <v>852</v>
      </c>
      <c r="C12" s="302">
        <v>85204</v>
      </c>
      <c r="D12" s="302">
        <v>2320</v>
      </c>
      <c r="E12" s="260" t="s">
        <v>432</v>
      </c>
      <c r="F12" s="265">
        <v>196818.46</v>
      </c>
      <c r="G12" s="264">
        <v>120006.04</v>
      </c>
      <c r="H12" s="335">
        <f t="shared" ref="H12:H14" si="1">G12/F12*100</f>
        <v>60.972959548611449</v>
      </c>
    </row>
    <row r="13" spans="1:8" ht="25.5">
      <c r="A13" s="302">
        <v>5</v>
      </c>
      <c r="B13" s="302">
        <v>853</v>
      </c>
      <c r="C13" s="302">
        <v>85311</v>
      </c>
      <c r="D13" s="302">
        <v>2310</v>
      </c>
      <c r="E13" s="260" t="s">
        <v>261</v>
      </c>
      <c r="F13" s="265">
        <v>42000</v>
      </c>
      <c r="G13" s="264">
        <v>42000</v>
      </c>
      <c r="H13" s="335">
        <f t="shared" si="1"/>
        <v>100</v>
      </c>
    </row>
    <row r="14" spans="1:8" s="227" customFormat="1" ht="25.5">
      <c r="A14" s="302">
        <v>6</v>
      </c>
      <c r="B14" s="302">
        <v>853</v>
      </c>
      <c r="C14" s="302">
        <v>85311</v>
      </c>
      <c r="D14" s="302">
        <v>2310</v>
      </c>
      <c r="E14" s="260" t="s">
        <v>302</v>
      </c>
      <c r="F14" s="265">
        <v>42000</v>
      </c>
      <c r="G14" s="264">
        <v>42000</v>
      </c>
      <c r="H14" s="335">
        <f t="shared" si="1"/>
        <v>100</v>
      </c>
    </row>
    <row r="15" spans="1:8">
      <c r="A15" s="583">
        <v>7</v>
      </c>
      <c r="B15" s="583">
        <v>853</v>
      </c>
      <c r="C15" s="583">
        <v>85395</v>
      </c>
      <c r="D15" s="584" t="s">
        <v>263</v>
      </c>
      <c r="E15" s="260" t="s">
        <v>264</v>
      </c>
      <c r="F15" s="265">
        <v>282854.77</v>
      </c>
      <c r="G15" s="264">
        <v>210368.37</v>
      </c>
      <c r="H15" s="335">
        <f t="shared" ref="H15:H20" si="2">G15/F15*100</f>
        <v>74.373279969788015</v>
      </c>
    </row>
    <row r="16" spans="1:8">
      <c r="A16" s="583"/>
      <c r="B16" s="583"/>
      <c r="C16" s="583"/>
      <c r="D16" s="584"/>
      <c r="E16" s="260" t="s">
        <v>265</v>
      </c>
      <c r="F16" s="265">
        <v>167107.47</v>
      </c>
      <c r="G16" s="264">
        <v>122961.65</v>
      </c>
      <c r="H16" s="335">
        <f t="shared" si="2"/>
        <v>73.582377855400466</v>
      </c>
    </row>
    <row r="17" spans="1:8">
      <c r="A17" s="583"/>
      <c r="B17" s="583"/>
      <c r="C17" s="583"/>
      <c r="D17" s="584"/>
      <c r="E17" s="260" t="s">
        <v>266</v>
      </c>
      <c r="F17" s="265">
        <v>174114</v>
      </c>
      <c r="G17" s="264">
        <v>125882.5</v>
      </c>
      <c r="H17" s="335">
        <f t="shared" si="2"/>
        <v>72.298896125526952</v>
      </c>
    </row>
    <row r="18" spans="1:8">
      <c r="A18" s="583"/>
      <c r="B18" s="583"/>
      <c r="C18" s="583"/>
      <c r="D18" s="584"/>
      <c r="E18" s="260" t="s">
        <v>267</v>
      </c>
      <c r="F18" s="265">
        <v>201488.18</v>
      </c>
      <c r="G18" s="264">
        <v>161477.04</v>
      </c>
      <c r="H18" s="335">
        <f t="shared" si="2"/>
        <v>80.142189978588334</v>
      </c>
    </row>
    <row r="19" spans="1:8" s="227" customFormat="1">
      <c r="A19" s="302">
        <v>8</v>
      </c>
      <c r="B19" s="302">
        <v>921</v>
      </c>
      <c r="C19" s="302">
        <v>92116</v>
      </c>
      <c r="D19" s="302">
        <v>2310</v>
      </c>
      <c r="E19" s="260" t="s">
        <v>262</v>
      </c>
      <c r="F19" s="265">
        <v>59500</v>
      </c>
      <c r="G19" s="264">
        <v>29750</v>
      </c>
      <c r="H19" s="335">
        <f>G19/F19*100</f>
        <v>50</v>
      </c>
    </row>
    <row r="20" spans="1:8">
      <c r="A20" s="581" t="s">
        <v>159</v>
      </c>
      <c r="B20" s="581"/>
      <c r="C20" s="581"/>
      <c r="D20" s="581"/>
      <c r="E20" s="581"/>
      <c r="F20" s="266">
        <f>SUM(F10:F19)</f>
        <v>1379220.44</v>
      </c>
      <c r="G20" s="266">
        <f>SUM(G10:G19)</f>
        <v>951444.81</v>
      </c>
      <c r="H20" s="336">
        <f t="shared" si="2"/>
        <v>68.984245187085548</v>
      </c>
    </row>
    <row r="21" spans="1:8" s="227" customFormat="1">
      <c r="A21" s="337"/>
      <c r="B21" s="337"/>
      <c r="C21" s="337"/>
      <c r="D21" s="337"/>
      <c r="E21" s="337"/>
      <c r="F21" s="338"/>
      <c r="G21" s="338"/>
      <c r="H21" s="339"/>
    </row>
    <row r="22" spans="1:8" s="227" customFormat="1">
      <c r="A22" s="337"/>
      <c r="B22" s="337"/>
      <c r="C22" s="337"/>
      <c r="D22" s="337"/>
      <c r="E22" s="337"/>
      <c r="F22" s="338"/>
      <c r="G22" s="338"/>
      <c r="H22" s="339"/>
    </row>
    <row r="23" spans="1:8" s="227" customFormat="1">
      <c r="A23" s="337"/>
      <c r="B23" s="337"/>
      <c r="C23" s="337"/>
      <c r="D23" s="337"/>
      <c r="E23" s="337"/>
      <c r="F23" s="338"/>
      <c r="G23" s="338"/>
      <c r="H23" s="339"/>
    </row>
    <row r="24" spans="1:8" s="227" customFormat="1">
      <c r="A24" s="337"/>
      <c r="B24" s="337"/>
      <c r="C24" s="337"/>
      <c r="D24" s="337"/>
      <c r="F24" s="338"/>
      <c r="G24" s="338"/>
      <c r="H24" s="339"/>
    </row>
    <row r="25" spans="1:8" s="227" customFormat="1">
      <c r="A25" s="337"/>
      <c r="B25" s="337"/>
      <c r="C25" s="337"/>
      <c r="D25" s="337"/>
      <c r="E25" s="337"/>
      <c r="F25" s="338"/>
      <c r="G25" s="338"/>
      <c r="H25" s="339"/>
    </row>
    <row r="26" spans="1:8" s="227" customFormat="1">
      <c r="A26" s="337"/>
      <c r="B26" s="337"/>
      <c r="C26" s="337"/>
      <c r="D26" s="337"/>
      <c r="E26" s="337"/>
      <c r="F26" s="338"/>
      <c r="G26" s="338"/>
      <c r="H26" s="339"/>
    </row>
    <row r="27" spans="1:8" s="227" customFormat="1">
      <c r="A27" s="337"/>
      <c r="B27" s="337"/>
      <c r="C27" s="337"/>
      <c r="D27" s="337"/>
      <c r="E27" s="337"/>
      <c r="F27" s="338"/>
      <c r="G27" s="338"/>
      <c r="H27" s="339"/>
    </row>
    <row r="28" spans="1:8" s="227" customFormat="1">
      <c r="A28" s="337"/>
      <c r="B28" s="337"/>
      <c r="C28" s="337"/>
      <c r="D28" s="337"/>
      <c r="E28" s="337"/>
      <c r="F28" s="338"/>
      <c r="G28" s="338"/>
      <c r="H28" s="339"/>
    </row>
    <row r="29" spans="1:8" s="227" customFormat="1">
      <c r="A29" s="337"/>
      <c r="B29" s="337"/>
      <c r="C29" s="337"/>
      <c r="D29" s="337"/>
      <c r="E29" s="337"/>
      <c r="F29" s="338"/>
      <c r="G29" s="338"/>
      <c r="H29" s="339"/>
    </row>
    <row r="30" spans="1:8" s="227" customFormat="1">
      <c r="A30" s="337"/>
      <c r="B30" s="337"/>
      <c r="C30" s="337"/>
      <c r="D30" s="337"/>
      <c r="E30" s="337"/>
      <c r="F30" s="338"/>
      <c r="G30" s="338"/>
      <c r="H30" s="339"/>
    </row>
    <row r="31" spans="1:8" s="227" customFormat="1">
      <c r="A31" s="337"/>
      <c r="B31" s="337"/>
      <c r="C31" s="337"/>
      <c r="D31" s="337"/>
      <c r="E31" s="337"/>
      <c r="F31" s="338"/>
      <c r="G31" s="338"/>
      <c r="H31" s="339"/>
    </row>
    <row r="32" spans="1:8" s="227" customFormat="1">
      <c r="A32" s="337"/>
      <c r="B32" s="337"/>
      <c r="C32" s="337"/>
      <c r="D32" s="337"/>
      <c r="E32" s="337"/>
      <c r="F32" s="338"/>
      <c r="G32" s="338"/>
      <c r="H32" s="339"/>
    </row>
    <row r="33" spans="1:8" s="227" customFormat="1">
      <c r="A33" s="337"/>
      <c r="B33" s="337"/>
      <c r="C33" s="337"/>
      <c r="D33" s="337"/>
      <c r="E33" s="337"/>
      <c r="F33" s="338"/>
      <c r="G33" s="338"/>
      <c r="H33" s="339"/>
    </row>
    <row r="35" spans="1:8" ht="15.75" customHeight="1"/>
    <row r="36" spans="1:8" ht="15.75" customHeight="1"/>
    <row r="37" spans="1:8" ht="15.75" customHeight="1"/>
    <row r="38" spans="1:8" ht="15.75" customHeight="1"/>
    <row r="39" spans="1:8" s="227" customFormat="1" ht="15.75" customHeight="1"/>
    <row r="43" spans="1:8" ht="41.25" customHeight="1"/>
    <row r="44" spans="1:8" s="227" customFormat="1"/>
    <row r="46" spans="1:8" s="227" customFormat="1"/>
    <row r="47" spans="1:8" ht="53.25" customHeight="1"/>
    <row r="50" spans="1:8" ht="15.75">
      <c r="H50" s="255"/>
    </row>
    <row r="51" spans="1:8" ht="15.75">
      <c r="H51" s="255"/>
    </row>
    <row r="52" spans="1:8" ht="15.75">
      <c r="H52" s="255"/>
    </row>
    <row r="58" spans="1:8" ht="15.75" customHeight="1"/>
    <row r="59" spans="1:8" ht="15.75" customHeight="1"/>
    <row r="60" spans="1:8" ht="15.75" customHeight="1"/>
    <row r="61" spans="1:8" s="227" customFormat="1" ht="15.75" customHeight="1">
      <c r="A61" s="44"/>
      <c r="B61" s="44"/>
      <c r="C61" s="44"/>
      <c r="D61" s="44"/>
      <c r="E61" s="44"/>
      <c r="F61" s="44"/>
      <c r="G61" s="44"/>
    </row>
    <row r="74" spans="1:8" s="227" customFormat="1">
      <c r="A74" s="44"/>
      <c r="B74" s="44"/>
      <c r="C74" s="44"/>
      <c r="D74" s="44"/>
      <c r="E74" s="44"/>
      <c r="F74" s="44"/>
      <c r="G74" s="44"/>
      <c r="H74" s="44"/>
    </row>
  </sheetData>
  <mergeCells count="11">
    <mergeCell ref="A20:E20"/>
    <mergeCell ref="G1:H1"/>
    <mergeCell ref="A2:F2"/>
    <mergeCell ref="A15:A18"/>
    <mergeCell ref="B15:B18"/>
    <mergeCell ref="C15:C18"/>
    <mergeCell ref="D15:D18"/>
    <mergeCell ref="A6:H6"/>
    <mergeCell ref="A3:H3"/>
    <mergeCell ref="A4:H4"/>
    <mergeCell ref="A5:H5"/>
  </mergeCells>
  <pageMargins left="0.7" right="0.7" top="0.75" bottom="0.75" header="0.3" footer="0.3"/>
  <pageSetup paperSize="9" orientation="portrait" r:id="rId1"/>
  <headerFooter>
    <oddFooter xml:space="preserve">&amp;C&amp;"Times New (W1),Normalny"Tabela Nr 6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28"/>
  <sheetViews>
    <sheetView view="pageLayout" workbookViewId="0">
      <selection activeCell="E26" sqref="E26"/>
    </sheetView>
  </sheetViews>
  <sheetFormatPr defaultRowHeight="12.75"/>
  <cols>
    <col min="1" max="1" width="4.140625" customWidth="1"/>
    <col min="2" max="2" width="5.5703125" customWidth="1"/>
    <col min="3" max="3" width="6.85546875" customWidth="1"/>
    <col min="4" max="4" width="5.85546875" customWidth="1"/>
    <col min="5" max="5" width="31.7109375" customWidth="1"/>
    <col min="6" max="6" width="12.28515625" customWidth="1"/>
    <col min="7" max="7" width="12.140625" customWidth="1"/>
    <col min="8" max="8" width="5.42578125" customWidth="1"/>
  </cols>
  <sheetData>
    <row r="1" spans="1:8">
      <c r="A1" s="42"/>
      <c r="B1" s="42"/>
      <c r="C1" s="42"/>
      <c r="D1" s="42"/>
      <c r="E1" s="42"/>
      <c r="F1" s="44"/>
      <c r="G1" s="586" t="s">
        <v>278</v>
      </c>
      <c r="H1" s="586"/>
    </row>
    <row r="2" spans="1:8" ht="15.75">
      <c r="A2" s="587" t="s">
        <v>273</v>
      </c>
      <c r="B2" s="587"/>
      <c r="C2" s="587"/>
      <c r="D2" s="587"/>
      <c r="E2" s="587"/>
      <c r="F2" s="587"/>
      <c r="G2" s="587"/>
      <c r="H2" s="587"/>
    </row>
    <row r="3" spans="1:8" ht="15.75">
      <c r="A3" s="587" t="s">
        <v>274</v>
      </c>
      <c r="B3" s="587"/>
      <c r="C3" s="587"/>
      <c r="D3" s="587"/>
      <c r="E3" s="587"/>
      <c r="F3" s="587"/>
      <c r="G3" s="587"/>
      <c r="H3" s="587"/>
    </row>
    <row r="4" spans="1:8" ht="15.75">
      <c r="A4" s="587" t="s">
        <v>177</v>
      </c>
      <c r="B4" s="587"/>
      <c r="C4" s="587"/>
      <c r="D4" s="587"/>
      <c r="E4" s="587"/>
      <c r="F4" s="587"/>
      <c r="G4" s="587"/>
      <c r="H4" s="587"/>
    </row>
    <row r="5" spans="1:8" ht="15.75">
      <c r="A5" s="587" t="s">
        <v>282</v>
      </c>
      <c r="B5" s="587"/>
      <c r="C5" s="587"/>
      <c r="D5" s="587"/>
      <c r="E5" s="587"/>
      <c r="F5" s="587"/>
      <c r="G5" s="587"/>
      <c r="H5" s="587"/>
    </row>
    <row r="6" spans="1:8" ht="15.75">
      <c r="A6" s="585" t="s">
        <v>401</v>
      </c>
      <c r="B6" s="585"/>
      <c r="C6" s="585"/>
      <c r="D6" s="585"/>
      <c r="E6" s="585"/>
      <c r="F6" s="585"/>
      <c r="G6" s="585"/>
      <c r="H6" s="585"/>
    </row>
    <row r="7" spans="1:8" ht="15.75">
      <c r="A7" s="253"/>
      <c r="B7" s="253"/>
      <c r="C7" s="253"/>
      <c r="D7" s="253"/>
      <c r="E7" s="253"/>
      <c r="F7" s="44"/>
      <c r="G7" s="272" t="s">
        <v>162</v>
      </c>
      <c r="H7" s="44"/>
    </row>
    <row r="8" spans="1:8" ht="25.5">
      <c r="A8" s="273" t="s">
        <v>173</v>
      </c>
      <c r="B8" s="273" t="s">
        <v>0</v>
      </c>
      <c r="C8" s="273" t="s">
        <v>8</v>
      </c>
      <c r="D8" s="273" t="s">
        <v>192</v>
      </c>
      <c r="E8" s="273" t="s">
        <v>178</v>
      </c>
      <c r="F8" s="262" t="s">
        <v>269</v>
      </c>
      <c r="G8" s="263" t="s">
        <v>268</v>
      </c>
      <c r="H8" s="268" t="s">
        <v>136</v>
      </c>
    </row>
    <row r="9" spans="1:8">
      <c r="A9" s="244">
        <v>1</v>
      </c>
      <c r="B9" s="244">
        <v>2</v>
      </c>
      <c r="C9" s="244">
        <v>3</v>
      </c>
      <c r="D9" s="244">
        <v>4</v>
      </c>
      <c r="E9" s="244">
        <v>5</v>
      </c>
      <c r="F9" s="244">
        <v>6</v>
      </c>
      <c r="G9" s="269">
        <v>7</v>
      </c>
      <c r="H9" s="127">
        <v>8</v>
      </c>
    </row>
    <row r="10" spans="1:8" ht="36">
      <c r="A10" s="245">
        <v>1</v>
      </c>
      <c r="B10" s="245">
        <v>852</v>
      </c>
      <c r="C10" s="245">
        <v>85201</v>
      </c>
      <c r="D10" s="245">
        <v>2810</v>
      </c>
      <c r="E10" s="340" t="s">
        <v>303</v>
      </c>
      <c r="F10" s="476">
        <v>1363491.6</v>
      </c>
      <c r="G10" s="477">
        <v>576841.52</v>
      </c>
      <c r="H10" s="478">
        <f t="shared" ref="H10:H14" si="0">G10/F10*100</f>
        <v>42.30620269314457</v>
      </c>
    </row>
    <row r="11" spans="1:8" ht="36">
      <c r="A11" s="245">
        <v>2</v>
      </c>
      <c r="B11" s="291">
        <v>852</v>
      </c>
      <c r="C11" s="291">
        <v>85201</v>
      </c>
      <c r="D11" s="291">
        <v>2360</v>
      </c>
      <c r="E11" s="341" t="s">
        <v>275</v>
      </c>
      <c r="F11" s="479">
        <v>2321871.38</v>
      </c>
      <c r="G11" s="480">
        <v>547691.55000000005</v>
      </c>
      <c r="H11" s="478">
        <f t="shared" si="0"/>
        <v>23.588367328081716</v>
      </c>
    </row>
    <row r="12" spans="1:8" ht="77.25" customHeight="1">
      <c r="A12" s="245">
        <v>3</v>
      </c>
      <c r="B12" s="245">
        <v>852</v>
      </c>
      <c r="C12" s="245">
        <v>85202</v>
      </c>
      <c r="D12" s="245">
        <v>2820</v>
      </c>
      <c r="E12" s="340" t="s">
        <v>276</v>
      </c>
      <c r="F12" s="476">
        <v>1618000</v>
      </c>
      <c r="G12" s="477">
        <v>754870</v>
      </c>
      <c r="H12" s="478">
        <f t="shared" si="0"/>
        <v>46.65451174289246</v>
      </c>
    </row>
    <row r="13" spans="1:8" ht="48">
      <c r="A13" s="245">
        <v>5</v>
      </c>
      <c r="B13" s="245">
        <v>926</v>
      </c>
      <c r="C13" s="245">
        <v>92605</v>
      </c>
      <c r="D13" s="245">
        <v>2820</v>
      </c>
      <c r="E13" s="340" t="s">
        <v>277</v>
      </c>
      <c r="F13" s="476">
        <v>30000</v>
      </c>
      <c r="G13" s="477">
        <v>25000</v>
      </c>
      <c r="H13" s="478">
        <f t="shared" si="0"/>
        <v>83.333333333333343</v>
      </c>
    </row>
    <row r="14" spans="1:8">
      <c r="A14" s="588" t="s">
        <v>159</v>
      </c>
      <c r="B14" s="589"/>
      <c r="C14" s="589"/>
      <c r="D14" s="589"/>
      <c r="E14" s="590"/>
      <c r="F14" s="274">
        <f>SUM(F10:F13)</f>
        <v>5333362.9800000004</v>
      </c>
      <c r="G14" s="275">
        <f>SUM(G10:G13)</f>
        <v>1904403.07</v>
      </c>
      <c r="H14" s="128">
        <f t="shared" si="0"/>
        <v>35.707359074217742</v>
      </c>
    </row>
    <row r="15" spans="1:8" ht="15.75">
      <c r="A15" s="42"/>
      <c r="B15" s="42"/>
      <c r="C15" s="42"/>
      <c r="D15" s="42"/>
      <c r="E15" s="42"/>
      <c r="F15" s="42"/>
      <c r="G15" s="44"/>
      <c r="H15" s="255"/>
    </row>
    <row r="16" spans="1:8" ht="12.75" customHeight="1">
      <c r="A16" s="42"/>
      <c r="B16" s="42"/>
      <c r="C16" s="42"/>
      <c r="D16" s="42"/>
      <c r="E16" s="42"/>
      <c r="F16" s="42"/>
      <c r="G16" s="227"/>
      <c r="H16" s="301"/>
    </row>
    <row r="17" spans="1:8" ht="6.75" customHeight="1">
      <c r="A17" s="42"/>
      <c r="B17" s="42"/>
      <c r="C17" s="42"/>
      <c r="D17" s="42"/>
      <c r="E17" s="42"/>
      <c r="F17" s="42"/>
      <c r="G17" s="227"/>
      <c r="H17" s="301"/>
    </row>
    <row r="18" spans="1:8">
      <c r="A18" s="42"/>
      <c r="B18" s="42"/>
      <c r="C18" s="42"/>
      <c r="D18" s="42"/>
      <c r="E18" s="42"/>
      <c r="F18" s="42"/>
      <c r="G18" s="591" t="s">
        <v>272</v>
      </c>
      <c r="H18" s="591"/>
    </row>
    <row r="19" spans="1:8" ht="15.75">
      <c r="A19" s="587" t="s">
        <v>273</v>
      </c>
      <c r="B19" s="587"/>
      <c r="C19" s="587"/>
      <c r="D19" s="587"/>
      <c r="E19" s="587"/>
      <c r="F19" s="587"/>
      <c r="G19" s="587"/>
      <c r="H19" s="587"/>
    </row>
    <row r="20" spans="1:8" ht="15.75">
      <c r="A20" s="587" t="s">
        <v>274</v>
      </c>
      <c r="B20" s="587"/>
      <c r="C20" s="587"/>
      <c r="D20" s="587"/>
      <c r="E20" s="587"/>
      <c r="F20" s="587"/>
      <c r="G20" s="587"/>
      <c r="H20" s="587"/>
    </row>
    <row r="21" spans="1:8" ht="15.75">
      <c r="A21" s="587" t="s">
        <v>283</v>
      </c>
      <c r="B21" s="587"/>
      <c r="C21" s="587"/>
      <c r="D21" s="587"/>
      <c r="E21" s="587"/>
      <c r="F21" s="587"/>
      <c r="G21" s="587"/>
      <c r="H21" s="587"/>
    </row>
    <row r="22" spans="1:8" ht="15.75">
      <c r="A22" s="585" t="s">
        <v>401</v>
      </c>
      <c r="B22" s="585"/>
      <c r="C22" s="585"/>
      <c r="D22" s="585"/>
      <c r="E22" s="585"/>
      <c r="F22" s="585"/>
      <c r="G22" s="585"/>
      <c r="H22" s="585"/>
    </row>
    <row r="23" spans="1:8" ht="15.75">
      <c r="A23" s="253"/>
      <c r="B23" s="253"/>
      <c r="C23" s="253"/>
      <c r="D23" s="253"/>
      <c r="E23" s="253"/>
      <c r="F23" s="253"/>
      <c r="G23" s="272" t="s">
        <v>162</v>
      </c>
    </row>
    <row r="24" spans="1:8" ht="25.5">
      <c r="A24" s="273" t="s">
        <v>173</v>
      </c>
      <c r="B24" s="273" t="s">
        <v>0</v>
      </c>
      <c r="C24" s="273" t="s">
        <v>8</v>
      </c>
      <c r="D24" s="273" t="s">
        <v>192</v>
      </c>
      <c r="E24" s="273" t="s">
        <v>178</v>
      </c>
      <c r="F24" s="262" t="s">
        <v>269</v>
      </c>
      <c r="G24" s="263" t="s">
        <v>268</v>
      </c>
      <c r="H24" s="279" t="s">
        <v>136</v>
      </c>
    </row>
    <row r="25" spans="1:8">
      <c r="A25" s="244">
        <v>1</v>
      </c>
      <c r="B25" s="244">
        <v>2</v>
      </c>
      <c r="C25" s="244">
        <v>3</v>
      </c>
      <c r="D25" s="244">
        <v>4</v>
      </c>
      <c r="E25" s="244">
        <v>5</v>
      </c>
      <c r="F25" s="244">
        <v>6</v>
      </c>
      <c r="G25" s="244">
        <v>7</v>
      </c>
      <c r="H25" s="244">
        <v>8</v>
      </c>
    </row>
    <row r="26" spans="1:8" ht="36">
      <c r="A26" s="276">
        <v>2</v>
      </c>
      <c r="B26" s="276">
        <v>754</v>
      </c>
      <c r="C26" s="276">
        <v>75412</v>
      </c>
      <c r="D26" s="276">
        <v>2710</v>
      </c>
      <c r="E26" s="342" t="s">
        <v>434</v>
      </c>
      <c r="F26" s="474">
        <v>5000</v>
      </c>
      <c r="G26" s="474">
        <v>5000</v>
      </c>
      <c r="H26" s="343">
        <f>G26/F26*100</f>
        <v>100</v>
      </c>
    </row>
    <row r="27" spans="1:8" ht="36">
      <c r="A27" s="245">
        <v>3</v>
      </c>
      <c r="B27" s="245">
        <v>926</v>
      </c>
      <c r="C27" s="245">
        <v>92601</v>
      </c>
      <c r="D27" s="245">
        <v>6300</v>
      </c>
      <c r="E27" s="192" t="s">
        <v>280</v>
      </c>
      <c r="F27" s="475">
        <v>1000000</v>
      </c>
      <c r="G27" s="475">
        <v>0</v>
      </c>
      <c r="H27" s="343">
        <f>G27/F27*100</f>
        <v>0</v>
      </c>
    </row>
    <row r="28" spans="1:8">
      <c r="A28" s="277" t="s">
        <v>159</v>
      </c>
      <c r="B28" s="278"/>
      <c r="C28" s="278"/>
      <c r="D28" s="278"/>
      <c r="E28" s="278"/>
      <c r="F28" s="280">
        <f>SUM(F26:F27)</f>
        <v>1005000</v>
      </c>
      <c r="G28" s="280">
        <f>SUM(G26:G27)</f>
        <v>5000</v>
      </c>
      <c r="H28" s="344">
        <f>G28/F28*100</f>
        <v>0.49751243781094528</v>
      </c>
    </row>
  </sheetData>
  <mergeCells count="12">
    <mergeCell ref="G18:H18"/>
    <mergeCell ref="A22:H22"/>
    <mergeCell ref="A19:H19"/>
    <mergeCell ref="A20:H20"/>
    <mergeCell ref="A21:H21"/>
    <mergeCell ref="G1:H1"/>
    <mergeCell ref="A2:H2"/>
    <mergeCell ref="A3:H3"/>
    <mergeCell ref="A4:H4"/>
    <mergeCell ref="A14:E14"/>
    <mergeCell ref="A5:H5"/>
    <mergeCell ref="A6:H6"/>
  </mergeCells>
  <pageMargins left="0.7" right="0.7" top="0.75" bottom="0.75" header="0.3" footer="0.3"/>
  <pageSetup paperSize="9" orientation="portrait" r:id="rId1"/>
  <headerFooter>
    <oddFooter>&amp;CTabele nr 7 i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tab1</vt:lpstr>
      <vt:lpstr>wykres dochodów</vt:lpstr>
      <vt:lpstr>tab2</vt:lpstr>
      <vt:lpstr>tab3</vt:lpstr>
      <vt:lpstr>tab4</vt:lpstr>
      <vt:lpstr>wykres wydatków</vt:lpstr>
      <vt:lpstr>tab5</vt:lpstr>
      <vt:lpstr>tab 6</vt:lpstr>
      <vt:lpstr>tab 7i8</vt:lpstr>
      <vt:lpstr>tab9i10</vt:lpstr>
      <vt:lpstr>tab11</vt:lpstr>
      <vt:lpstr>tab12</vt:lpstr>
      <vt:lpstr>tab13</vt:lpstr>
      <vt:lpstr>zał wydatki majatkowe</vt:lpstr>
      <vt:lpstr>Arkusz5</vt:lpstr>
      <vt:lpstr>Arkusz1</vt:lpstr>
      <vt:lpstr>Arkusz2</vt:lpstr>
      <vt:lpstr>'wykres dochodów'!Obszar_wydruku</vt:lpstr>
    </vt:vector>
  </TitlesOfParts>
  <Company>Powiat Białogard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</dc:creator>
  <cp:lastModifiedBy>Starostwo Powiatowe w Białogardzie</cp:lastModifiedBy>
  <cp:lastPrinted>2012-08-27T10:16:16Z</cp:lastPrinted>
  <dcterms:created xsi:type="dcterms:W3CDTF">2003-12-03T07:20:24Z</dcterms:created>
  <dcterms:modified xsi:type="dcterms:W3CDTF">2012-08-27T10:16:25Z</dcterms:modified>
</cp:coreProperties>
</file>