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695" yWindow="795" windowWidth="19260" windowHeight="1083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Arkusz1!$A$1:$P$59</definedName>
  </definedNames>
  <calcPr calcId="124519"/>
</workbook>
</file>

<file path=xl/calcChain.xml><?xml version="1.0" encoding="utf-8"?>
<calcChain xmlns="http://schemas.openxmlformats.org/spreadsheetml/2006/main">
  <c r="F14" i="1"/>
  <c r="F5"/>
  <c r="F18"/>
  <c r="E19"/>
  <c r="E14" s="1"/>
  <c r="F30"/>
  <c r="H22"/>
  <c r="I22"/>
  <c r="I35"/>
  <c r="H35"/>
  <c r="G40"/>
  <c r="G30"/>
  <c r="H8"/>
  <c r="H11"/>
  <c r="G24"/>
  <c r="F24"/>
  <c r="G22"/>
  <c r="F22"/>
  <c r="F11"/>
  <c r="F8"/>
  <c r="K39"/>
  <c r="J39"/>
  <c r="I39"/>
  <c r="H39"/>
  <c r="G39"/>
  <c r="F39"/>
  <c r="E39" l="1"/>
  <c r="E38"/>
  <c r="G43" l="1"/>
  <c r="G44"/>
  <c r="G35"/>
  <c r="G21"/>
  <c r="E51"/>
  <c r="E34"/>
  <c r="E27"/>
  <c r="E4"/>
  <c r="E47" s="1"/>
  <c r="P34"/>
  <c r="L19"/>
  <c r="K19"/>
  <c r="I19"/>
  <c r="H19"/>
  <c r="G19"/>
  <c r="E41" l="1"/>
  <c r="E12"/>
  <c r="E25" s="1"/>
  <c r="E26"/>
  <c r="E42"/>
  <c r="E44"/>
  <c r="E49"/>
  <c r="E43"/>
  <c r="G8"/>
  <c r="G11" s="1"/>
  <c r="N34"/>
  <c r="O34"/>
  <c r="M34"/>
  <c r="J19"/>
  <c r="H36" l="1"/>
  <c r="F40"/>
  <c r="G36" s="1"/>
  <c r="G27" l="1"/>
  <c r="F53" l="1"/>
  <c r="P51"/>
  <c r="O51"/>
  <c r="N51"/>
  <c r="M51"/>
  <c r="L51"/>
  <c r="K51"/>
  <c r="J51"/>
  <c r="I51"/>
  <c r="H51"/>
  <c r="G51"/>
  <c r="F51"/>
  <c r="L34" l="1"/>
  <c r="K34"/>
  <c r="J34"/>
  <c r="I34"/>
  <c r="H34"/>
  <c r="G34"/>
  <c r="F34"/>
  <c r="P27"/>
  <c r="O27"/>
  <c r="N27"/>
  <c r="M27"/>
  <c r="L27"/>
  <c r="K27"/>
  <c r="J27"/>
  <c r="I27"/>
  <c r="H27"/>
  <c r="F27"/>
  <c r="P13"/>
  <c r="P26" s="1"/>
  <c r="O13"/>
  <c r="O26" s="1"/>
  <c r="N13"/>
  <c r="N26" s="1"/>
  <c r="M13"/>
  <c r="M26" s="1"/>
  <c r="L13"/>
  <c r="L26" s="1"/>
  <c r="K13"/>
  <c r="K26" s="1"/>
  <c r="J13"/>
  <c r="J26" s="1"/>
  <c r="I13"/>
  <c r="H13"/>
  <c r="G13"/>
  <c r="F13"/>
  <c r="F38" l="1"/>
  <c r="G38" s="1"/>
  <c r="H38" s="1"/>
  <c r="I38" s="1"/>
  <c r="J38" s="1"/>
  <c r="K38" s="1"/>
  <c r="L38" s="1"/>
  <c r="M38" s="1"/>
  <c r="N38" s="1"/>
  <c r="O38" s="1"/>
  <c r="P38" s="1"/>
  <c r="H26"/>
  <c r="G26"/>
  <c r="I26"/>
  <c r="P12"/>
  <c r="O12"/>
  <c r="N12"/>
  <c r="M12"/>
  <c r="L12"/>
  <c r="K12"/>
  <c r="J12"/>
  <c r="I12"/>
  <c r="H12"/>
  <c r="G12"/>
  <c r="F26"/>
  <c r="F12"/>
  <c r="P4"/>
  <c r="P49" s="1"/>
  <c r="O4"/>
  <c r="O49" s="1"/>
  <c r="N4"/>
  <c r="N49" s="1"/>
  <c r="M4"/>
  <c r="L4"/>
  <c r="K4"/>
  <c r="K49" s="1"/>
  <c r="J4"/>
  <c r="J49" s="1"/>
  <c r="I4"/>
  <c r="I49" s="1"/>
  <c r="H4"/>
  <c r="H49" s="1"/>
  <c r="G4"/>
  <c r="F4"/>
  <c r="H46" l="1"/>
  <c r="F43"/>
  <c r="F44"/>
  <c r="G49"/>
  <c r="F41"/>
  <c r="F49"/>
  <c r="F47"/>
  <c r="F42"/>
  <c r="G42"/>
  <c r="L46"/>
  <c r="J46"/>
  <c r="K46"/>
  <c r="I46"/>
  <c r="M49"/>
  <c r="P46"/>
  <c r="L49"/>
  <c r="O46"/>
  <c r="N46"/>
  <c r="M46"/>
  <c r="P47"/>
  <c r="P25"/>
  <c r="O47"/>
  <c r="O25"/>
  <c r="N47"/>
  <c r="N25"/>
  <c r="M47"/>
  <c r="M25"/>
  <c r="L47"/>
  <c r="L25"/>
  <c r="K47"/>
  <c r="K25"/>
  <c r="J47"/>
  <c r="J25"/>
  <c r="I47"/>
  <c r="I25"/>
  <c r="H47"/>
  <c r="H25"/>
  <c r="G47"/>
  <c r="G41"/>
  <c r="G25"/>
  <c r="F25"/>
</calcChain>
</file>

<file path=xl/sharedStrings.xml><?xml version="1.0" encoding="utf-8"?>
<sst xmlns="http://schemas.openxmlformats.org/spreadsheetml/2006/main" count="100" uniqueCount="77">
  <si>
    <t>Przychody budżetu</t>
  </si>
  <si>
    <t>10.</t>
  </si>
  <si>
    <t>11.</t>
  </si>
  <si>
    <t>12.</t>
  </si>
  <si>
    <t>13.</t>
  </si>
  <si>
    <t>16.</t>
  </si>
  <si>
    <t>5.</t>
  </si>
  <si>
    <t>6.</t>
  </si>
  <si>
    <t>1.</t>
  </si>
  <si>
    <t>2.</t>
  </si>
  <si>
    <t>3.</t>
  </si>
  <si>
    <t>4.</t>
  </si>
  <si>
    <t>7.</t>
  </si>
  <si>
    <t>8.</t>
  </si>
  <si>
    <t>9.</t>
  </si>
  <si>
    <t>Wyszczególnienie</t>
  </si>
  <si>
    <t>Lp.</t>
  </si>
  <si>
    <t>Dochody bieżące</t>
  </si>
  <si>
    <t xml:space="preserve">Dochody majątkowe </t>
  </si>
  <si>
    <t>Wydatki ogółem</t>
  </si>
  <si>
    <t>Wydatki bieżące</t>
  </si>
  <si>
    <t>wydatki bieżące bez wydatków na obsługę długu</t>
  </si>
  <si>
    <t>Wydatki majątkowe</t>
  </si>
  <si>
    <t>Wynik budżetu</t>
  </si>
  <si>
    <t>Dochody bieżące - wydatki bieżące</t>
  </si>
  <si>
    <t>Nadwyżka budżetowa z lat ubiegłych plus wolne środki, o których mowa w art. 217 ust.1 pkt 6 ufp, angażowane w budżecie roku bieżącego</t>
  </si>
  <si>
    <t>w tym: na pokrycie deficytu budżetu</t>
  </si>
  <si>
    <t>Kredyty, pożyczki, sprzedaż papierów wartościowych</t>
  </si>
  <si>
    <t xml:space="preserve">w tym: na pokrycie deficytu budżetu </t>
  </si>
  <si>
    <t>Inne przychody niezwiązane z zaciągnięciem długu</t>
  </si>
  <si>
    <t xml:space="preserve">Rozchody budżetu </t>
  </si>
  <si>
    <t>Spłaty rat kapitałowych oraz wykup papierów wartościowych</t>
  </si>
  <si>
    <t>w tym: kwota wyłączeń z art. 243 ust. 3 pkt 1ufp oraz art. 169 ust. 3 sufp przypadająca na dany rok</t>
  </si>
  <si>
    <t>Inne rozchody (bez spłaty długu, np. udzielane pożyczki)</t>
  </si>
  <si>
    <t>Kwota długu</t>
  </si>
  <si>
    <t>w tym: dług spłacany wydatkami (zobowiązania wymagalne, umowy zaliczane do kategorii kredytów i pożyczek, itp.)</t>
  </si>
  <si>
    <t>Łączna kwota wyłączeń z art. 170 ust. 3 sufp</t>
  </si>
  <si>
    <t>Zadłużenie/dochody ogółem - max 60% z art. 170 sufp (bez wyłączeń)</t>
  </si>
  <si>
    <t>9a.</t>
  </si>
  <si>
    <t>Zadłużenie/dochody ogółem - max 60% z art. 170 sufp (po uwzględnieniu wyłączeń)</t>
  </si>
  <si>
    <t>Planowana łączna kwota spłaty zobowiązań/dochody ogółem - max 15% z art. 169 sufp (bez wyłączeń)</t>
  </si>
  <si>
    <t>10a.</t>
  </si>
  <si>
    <t>Planowana łączna kwota spłaty zobowiązań/dochody ogółem - max 15% z art. 169 sufp (po uwzględnieniu wyłączeń)</t>
  </si>
  <si>
    <t xml:space="preserve">Kwota zobowiązań przypadających do spłaty w danym roku budżetowym, 
podlegająca doliczeniu zgodnie z art. 244 ufp (zobowiązania związku współtworzonego przez JST) </t>
  </si>
  <si>
    <t>Maksymalny dopuszczalny wskaźnik spłaty z art. 243 ufp</t>
  </si>
  <si>
    <t>Relacja planowanej łącznej kwoty spłaty zobowiązań do dochodów  (bez wyłączeń)</t>
  </si>
  <si>
    <t>13a.</t>
  </si>
  <si>
    <t>Spełnienie wskaźnika spłaty z art. 243 ufp po uwzględnieniu art. 244 ufp (bez wyłączeń)</t>
  </si>
  <si>
    <t>14.</t>
  </si>
  <si>
    <t>Relacja planowanej łącznej kwoty spłaty zobowiązań do dochodów (po uwzględnieniu wyłączeń)</t>
  </si>
  <si>
    <t>14a.</t>
  </si>
  <si>
    <t>Spełnienie wskaźnika spłaty z art. 243 ufp po uwzględnieniu art. 244 ufp (po uwzględnieniu wyłączeń)</t>
  </si>
  <si>
    <t>15.</t>
  </si>
  <si>
    <t>Informacja z art. 226 ust. 2, tj. wydatki:</t>
  </si>
  <si>
    <t>na wynagrodzenia i składki od nich naliczane</t>
  </si>
  <si>
    <t>związane z funkcjonowaniem organów JST</t>
  </si>
  <si>
    <t>bieżące objęte limitem art. 226 ust. 4 ufp</t>
  </si>
  <si>
    <t>majątkowe objęte limitem art. 226 ust. 4 ufp</t>
  </si>
  <si>
    <t>Przeznaczenie nadwyżki wykonanej w poszczególnych latach objętych prognozą:</t>
  </si>
  <si>
    <t>Dochody ogółem</t>
  </si>
  <si>
    <t xml:space="preserve">w tym: </t>
  </si>
  <si>
    <t>środki z UE*</t>
  </si>
  <si>
    <t>ze sprzedaży majątku</t>
  </si>
  <si>
    <t xml:space="preserve">  w tym: </t>
  </si>
  <si>
    <t xml:space="preserve">z tytułu poręczeń i gwarancji </t>
  </si>
  <si>
    <t>w tym: gwarancje i poręczenia podlegające wyłączeniu z limitów spłaty zobowiązań z art. 243 ufp/169 sufp</t>
  </si>
  <si>
    <t>na projekty realizowane przy udziale środków, o których mowa w art. 5 ust. 1 pkt 2</t>
  </si>
  <si>
    <t>wydatki na obsługę długu</t>
  </si>
  <si>
    <t>w tym:</t>
  </si>
  <si>
    <t xml:space="preserve">odsetki i dyskonto </t>
  </si>
  <si>
    <t>Wartość przejętych zobowiązań</t>
  </si>
  <si>
    <t>w tym od spzoz</t>
  </si>
  <si>
    <t>* środki, o których mowa w art. 5 ust. 1 pkt 2 ustawy o finansach publicznych z 2009 r.</t>
  </si>
  <si>
    <t>zgodny</t>
  </si>
  <si>
    <t>Wieloletnia prognoza finansowa
 Powiatu Białogardzkiego
na lata 2012 - 2022</t>
  </si>
  <si>
    <t xml:space="preserve">Załącznik Nr 1
do uchwały
Rady Powiatu w Białogardzie
</t>
  </si>
  <si>
    <t>niezgodny</t>
  </si>
</sst>
</file>

<file path=xl/styles.xml><?xml version="1.0" encoding="utf-8"?>
<styleSheet xmlns="http://schemas.openxmlformats.org/spreadsheetml/2006/main">
  <fonts count="24">
    <font>
      <sz val="11"/>
      <color theme="1"/>
      <name val="Czcionka tekstu podstawowego"/>
      <family val="2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Times New Roman"/>
      <family val="1"/>
    </font>
    <font>
      <b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color indexed="8"/>
      <name val="Times New (W1)"/>
      <family val="1"/>
    </font>
    <font>
      <sz val="9"/>
      <color indexed="8"/>
      <name val="Times New (W1)"/>
      <family val="1"/>
    </font>
    <font>
      <sz val="9"/>
      <color indexed="12"/>
      <name val="Times New (W1)"/>
      <family val="1"/>
    </font>
    <font>
      <sz val="9"/>
      <color theme="1"/>
      <name val="Times New (W1)"/>
      <family val="1"/>
    </font>
    <font>
      <sz val="9"/>
      <name val="Times New (W1)"/>
      <family val="1"/>
    </font>
    <font>
      <b/>
      <sz val="9"/>
      <color indexed="12"/>
      <name val="Times New (W1)"/>
      <family val="1"/>
    </font>
    <font>
      <b/>
      <sz val="9"/>
      <color theme="4" tint="-0.249977111117893"/>
      <name val="Times New (W1)"/>
      <family val="1"/>
    </font>
    <font>
      <b/>
      <sz val="9"/>
      <name val="Times New (W1)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2" fillId="0" borderId="0" applyProtection="0"/>
    <xf numFmtId="0" fontId="4" fillId="0" borderId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6" fillId="0" borderId="0" xfId="0" applyFont="1"/>
    <xf numFmtId="0" fontId="6" fillId="0" borderId="0" xfId="0" applyFont="1" applyBorder="1"/>
    <xf numFmtId="0" fontId="5" fillId="0" borderId="0" xfId="2" quotePrefix="1" applyFont="1" applyBorder="1" applyAlignment="1">
      <alignment horizontal="right" vertical="center"/>
    </xf>
    <xf numFmtId="0" fontId="5" fillId="0" borderId="0" xfId="2" applyFont="1" applyBorder="1" applyAlignment="1">
      <alignment vertical="center" wrapText="1"/>
    </xf>
    <xf numFmtId="0" fontId="5" fillId="0" borderId="0" xfId="2" quotePrefix="1" applyFont="1" applyBorder="1" applyAlignment="1">
      <alignment horizontal="left" vertical="center" wrapText="1"/>
    </xf>
    <xf numFmtId="49" fontId="9" fillId="2" borderId="20" xfId="2" applyNumberFormat="1" applyFont="1" applyFill="1" applyBorder="1" applyAlignment="1">
      <alignment horizontal="center" vertical="center"/>
    </xf>
    <xf numFmtId="49" fontId="9" fillId="2" borderId="21" xfId="2" applyNumberFormat="1" applyFont="1" applyFill="1" applyBorder="1" applyAlignment="1">
      <alignment vertical="center"/>
    </xf>
    <xf numFmtId="49" fontId="9" fillId="2" borderId="9" xfId="2" applyNumberFormat="1" applyFont="1" applyFill="1" applyBorder="1" applyAlignment="1">
      <alignment vertical="center" wrapText="1"/>
    </xf>
    <xf numFmtId="0" fontId="9" fillId="0" borderId="22" xfId="2" applyFont="1" applyFill="1" applyBorder="1" applyAlignment="1">
      <alignment horizontal="center" vertical="center"/>
    </xf>
    <xf numFmtId="0" fontId="9" fillId="0" borderId="23" xfId="2" applyFont="1" applyBorder="1" applyAlignment="1">
      <alignment vertical="center"/>
    </xf>
    <xf numFmtId="0" fontId="9" fillId="0" borderId="7" xfId="2" applyFont="1" applyBorder="1" applyAlignment="1">
      <alignment vertical="center" wrapText="1"/>
    </xf>
    <xf numFmtId="0" fontId="10" fillId="0" borderId="24" xfId="2" applyFont="1" applyFill="1" applyBorder="1" applyAlignment="1">
      <alignment horizontal="center" vertical="center"/>
    </xf>
    <xf numFmtId="0" fontId="10" fillId="0" borderId="2" xfId="2" applyFont="1" applyBorder="1" applyAlignment="1">
      <alignment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10" fillId="0" borderId="25" xfId="2" applyFont="1" applyFill="1" applyBorder="1" applyAlignment="1">
      <alignment horizontal="center" vertical="center"/>
    </xf>
    <xf numFmtId="0" fontId="10" fillId="0" borderId="26" xfId="2" applyFont="1" applyBorder="1" applyAlignment="1">
      <alignment vertical="center" wrapText="1"/>
    </xf>
    <xf numFmtId="0" fontId="10" fillId="0" borderId="26" xfId="2" applyFont="1" applyBorder="1" applyAlignment="1">
      <alignment horizontal="left" vertical="center" wrapText="1"/>
    </xf>
    <xf numFmtId="0" fontId="10" fillId="0" borderId="27" xfId="2" applyFont="1" applyFill="1" applyBorder="1" applyAlignment="1">
      <alignment horizontal="center" vertical="center"/>
    </xf>
    <xf numFmtId="0" fontId="10" fillId="0" borderId="21" xfId="2" quotePrefix="1" applyFont="1" applyBorder="1" applyAlignment="1">
      <alignment vertical="center" wrapText="1"/>
    </xf>
    <xf numFmtId="0" fontId="9" fillId="0" borderId="24" xfId="2" applyFont="1" applyFill="1" applyBorder="1" applyAlignment="1">
      <alignment horizontal="center" vertical="center"/>
    </xf>
    <xf numFmtId="0" fontId="9" fillId="0" borderId="2" xfId="2" applyFont="1" applyBorder="1" applyAlignment="1">
      <alignment vertical="center" wrapText="1"/>
    </xf>
    <xf numFmtId="0" fontId="10" fillId="0" borderId="2" xfId="2" applyFont="1" applyBorder="1" applyAlignment="1">
      <alignment vertical="center"/>
    </xf>
    <xf numFmtId="0" fontId="10" fillId="0" borderId="8" xfId="2" applyFont="1" applyBorder="1" applyAlignment="1">
      <alignment vertical="center" wrapText="1"/>
    </xf>
    <xf numFmtId="0" fontId="8" fillId="0" borderId="2" xfId="0" applyFont="1" applyBorder="1"/>
    <xf numFmtId="0" fontId="12" fillId="0" borderId="8" xfId="2" applyFont="1" applyBorder="1" applyAlignment="1">
      <alignment horizontal="left" vertical="center" wrapText="1" indent="2"/>
    </xf>
    <xf numFmtId="0" fontId="9" fillId="0" borderId="25" xfId="2" applyFont="1" applyFill="1" applyBorder="1" applyAlignment="1">
      <alignment horizontal="center" vertical="center"/>
    </xf>
    <xf numFmtId="0" fontId="9" fillId="0" borderId="26" xfId="2" applyFont="1" applyBorder="1" applyAlignment="1">
      <alignment vertical="center" wrapText="1"/>
    </xf>
    <xf numFmtId="0" fontId="10" fillId="0" borderId="6" xfId="2" applyFont="1" applyBorder="1" applyAlignment="1">
      <alignment vertical="center" wrapText="1"/>
    </xf>
    <xf numFmtId="0" fontId="10" fillId="4" borderId="8" xfId="2" applyFont="1" applyFill="1" applyBorder="1" applyAlignment="1">
      <alignment horizontal="left" vertical="center" wrapText="1" indent="2"/>
    </xf>
    <xf numFmtId="0" fontId="12" fillId="0" borderId="8" xfId="2" applyFont="1" applyBorder="1" applyAlignment="1">
      <alignment horizontal="left" vertical="center" wrapText="1" indent="3"/>
    </xf>
    <xf numFmtId="0" fontId="12" fillId="0" borderId="8" xfId="2" applyFont="1" applyBorder="1" applyAlignment="1">
      <alignment vertical="center" wrapText="1"/>
    </xf>
    <xf numFmtId="0" fontId="9" fillId="0" borderId="20" xfId="2" applyFont="1" applyFill="1" applyBorder="1" applyAlignment="1">
      <alignment horizontal="center" vertical="center"/>
    </xf>
    <xf numFmtId="0" fontId="9" fillId="0" borderId="28" xfId="2" applyFont="1" applyBorder="1" applyAlignment="1">
      <alignment vertical="center"/>
    </xf>
    <xf numFmtId="0" fontId="9" fillId="0" borderId="15" xfId="2" applyFont="1" applyBorder="1" applyAlignment="1">
      <alignment vertical="center" wrapText="1"/>
    </xf>
    <xf numFmtId="0" fontId="9" fillId="0" borderId="29" xfId="2" applyFont="1" applyFill="1" applyBorder="1" applyAlignment="1">
      <alignment horizontal="center" vertical="center"/>
    </xf>
    <xf numFmtId="0" fontId="13" fillId="0" borderId="30" xfId="2" applyFont="1" applyFill="1" applyBorder="1" applyAlignment="1">
      <alignment horizontal="left" vertical="center"/>
    </xf>
    <xf numFmtId="0" fontId="9" fillId="0" borderId="30" xfId="2" applyFont="1" applyFill="1" applyBorder="1" applyAlignment="1">
      <alignment horizontal="left" vertical="center" wrapText="1"/>
    </xf>
    <xf numFmtId="0" fontId="9" fillId="0" borderId="19" xfId="2" applyFont="1" applyFill="1" applyBorder="1" applyAlignment="1">
      <alignment horizontal="left" vertical="center" wrapText="1"/>
    </xf>
    <xf numFmtId="0" fontId="8" fillId="0" borderId="2" xfId="0" applyFont="1" applyBorder="1" applyAlignment="1"/>
    <xf numFmtId="0" fontId="10" fillId="4" borderId="8" xfId="2" quotePrefix="1" applyFont="1" applyFill="1" applyBorder="1" applyAlignment="1">
      <alignment horizontal="left" vertical="center" wrapText="1"/>
    </xf>
    <xf numFmtId="0" fontId="9" fillId="0" borderId="8" xfId="2" applyFont="1" applyBorder="1" applyAlignment="1">
      <alignment vertical="center" wrapText="1"/>
    </xf>
    <xf numFmtId="0" fontId="10" fillId="4" borderId="8" xfId="2" applyFont="1" applyFill="1" applyBorder="1" applyAlignment="1">
      <alignment vertical="center" wrapText="1"/>
    </xf>
    <xf numFmtId="0" fontId="8" fillId="0" borderId="21" xfId="0" applyFont="1" applyBorder="1" applyAlignment="1"/>
    <xf numFmtId="0" fontId="10" fillId="0" borderId="21" xfId="2" applyFont="1" applyBorder="1" applyAlignment="1">
      <alignment vertical="center"/>
    </xf>
    <xf numFmtId="0" fontId="10" fillId="4" borderId="9" xfId="2" applyFont="1" applyFill="1" applyBorder="1" applyAlignment="1">
      <alignment vertical="center" wrapText="1"/>
    </xf>
    <xf numFmtId="0" fontId="9" fillId="0" borderId="31" xfId="2" applyFont="1" applyFill="1" applyBorder="1" applyAlignment="1">
      <alignment horizontal="center" vertical="center"/>
    </xf>
    <xf numFmtId="0" fontId="9" fillId="0" borderId="32" xfId="2" applyFont="1" applyBorder="1" applyAlignment="1">
      <alignment vertical="center"/>
    </xf>
    <xf numFmtId="0" fontId="9" fillId="0" borderId="11" xfId="2" applyFont="1" applyBorder="1" applyAlignment="1">
      <alignment vertical="center" wrapText="1"/>
    </xf>
    <xf numFmtId="0" fontId="8" fillId="0" borderId="21" xfId="0" applyFont="1" applyBorder="1"/>
    <xf numFmtId="0" fontId="9" fillId="0" borderId="9" xfId="2" applyFont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0" fontId="10" fillId="0" borderId="21" xfId="2" applyFont="1" applyBorder="1" applyAlignment="1">
      <alignment vertical="center" wrapText="1"/>
    </xf>
    <xf numFmtId="0" fontId="10" fillId="0" borderId="21" xfId="2" applyFont="1" applyBorder="1" applyAlignment="1">
      <alignment horizontal="left" vertical="center"/>
    </xf>
    <xf numFmtId="0" fontId="8" fillId="0" borderId="12" xfId="0" applyFont="1" applyBorder="1" applyAlignment="1">
      <alignment wrapText="1"/>
    </xf>
    <xf numFmtId="0" fontId="9" fillId="0" borderId="3" xfId="0" applyFont="1" applyFill="1" applyBorder="1" applyAlignment="1">
      <alignment horizontal="center" vertical="top"/>
    </xf>
    <xf numFmtId="0" fontId="13" fillId="0" borderId="22" xfId="2" applyFont="1" applyFill="1" applyBorder="1" applyAlignment="1">
      <alignment horizontal="center" vertical="center"/>
    </xf>
    <xf numFmtId="0" fontId="13" fillId="0" borderId="23" xfId="2" applyFont="1" applyBorder="1" applyAlignment="1">
      <alignment vertical="center"/>
    </xf>
    <xf numFmtId="0" fontId="11" fillId="0" borderId="23" xfId="2" applyFont="1" applyBorder="1" applyAlignment="1">
      <alignment horizontal="left" vertical="center"/>
    </xf>
    <xf numFmtId="0" fontId="14" fillId="0" borderId="7" xfId="0" applyFont="1" applyBorder="1" applyAlignment="1">
      <alignment wrapText="1"/>
    </xf>
    <xf numFmtId="0" fontId="11" fillId="0" borderId="27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vertical="center"/>
    </xf>
    <xf numFmtId="0" fontId="11" fillId="0" borderId="0" xfId="2" quotePrefix="1" applyFont="1" applyBorder="1" applyAlignment="1">
      <alignment horizontal="right" vertical="center"/>
    </xf>
    <xf numFmtId="0" fontId="11" fillId="0" borderId="0" xfId="2" applyFont="1" applyBorder="1" applyAlignment="1">
      <alignment vertical="center" wrapText="1"/>
    </xf>
    <xf numFmtId="0" fontId="11" fillId="0" borderId="0" xfId="2" quotePrefix="1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  <xf numFmtId="4" fontId="19" fillId="0" borderId="0" xfId="0" applyNumberFormat="1" applyFont="1"/>
    <xf numFmtId="4" fontId="16" fillId="0" borderId="13" xfId="2" applyNumberFormat="1" applyFont="1" applyBorder="1" applyAlignment="1">
      <alignment vertical="center"/>
    </xf>
    <xf numFmtId="4" fontId="17" fillId="0" borderId="1" xfId="2" applyNumberFormat="1" applyFont="1" applyBorder="1" applyAlignment="1">
      <alignment vertical="center"/>
    </xf>
    <xf numFmtId="4" fontId="17" fillId="0" borderId="17" xfId="2" applyNumberFormat="1" applyFont="1" applyBorder="1" applyAlignment="1">
      <alignment vertical="center"/>
    </xf>
    <xf numFmtId="4" fontId="17" fillId="0" borderId="10" xfId="2" applyNumberFormat="1" applyFont="1" applyBorder="1" applyAlignment="1">
      <alignment vertical="center"/>
    </xf>
    <xf numFmtId="4" fontId="16" fillId="0" borderId="1" xfId="2" applyNumberFormat="1" applyFont="1" applyBorder="1" applyAlignment="1">
      <alignment vertical="center"/>
    </xf>
    <xf numFmtId="4" fontId="16" fillId="0" borderId="16" xfId="2" applyNumberFormat="1" applyFont="1" applyBorder="1" applyAlignment="1">
      <alignment vertical="center"/>
    </xf>
    <xf numFmtId="4" fontId="16" fillId="0" borderId="18" xfId="2" applyNumberFormat="1" applyFont="1" applyFill="1" applyBorder="1" applyAlignment="1">
      <alignment vertical="center"/>
    </xf>
    <xf numFmtId="4" fontId="16" fillId="3" borderId="1" xfId="2" applyNumberFormat="1" applyFont="1" applyFill="1" applyBorder="1" applyAlignment="1">
      <alignment vertical="center"/>
    </xf>
    <xf numFmtId="4" fontId="16" fillId="3" borderId="10" xfId="2" applyNumberFormat="1" applyFont="1" applyFill="1" applyBorder="1" applyAlignment="1">
      <alignment vertical="center"/>
    </xf>
    <xf numFmtId="4" fontId="16" fillId="0" borderId="14" xfId="2" applyNumberFormat="1" applyFont="1" applyBorder="1" applyAlignment="1">
      <alignment vertical="center"/>
    </xf>
    <xf numFmtId="4" fontId="16" fillId="0" borderId="10" xfId="2" applyNumberFormat="1" applyFont="1" applyBorder="1" applyAlignment="1">
      <alignment vertical="center"/>
    </xf>
    <xf numFmtId="4" fontId="21" fillId="3" borderId="14" xfId="2" applyNumberFormat="1" applyFont="1" applyFill="1" applyBorder="1" applyAlignment="1">
      <alignment vertical="center"/>
    </xf>
    <xf numFmtId="4" fontId="16" fillId="2" borderId="1" xfId="2" applyNumberFormat="1" applyFont="1" applyFill="1" applyBorder="1" applyAlignment="1">
      <alignment vertical="center"/>
    </xf>
    <xf numFmtId="4" fontId="16" fillId="0" borderId="1" xfId="2" applyNumberFormat="1" applyFont="1" applyBorder="1" applyAlignment="1">
      <alignment horizontal="center" vertical="center" wrapText="1"/>
    </xf>
    <xf numFmtId="4" fontId="16" fillId="0" borderId="14" xfId="2" applyNumberFormat="1" applyFont="1" applyFill="1" applyBorder="1" applyAlignment="1">
      <alignment vertical="center"/>
    </xf>
    <xf numFmtId="4" fontId="18" fillId="0" borderId="16" xfId="2" applyNumberFormat="1" applyFont="1" applyBorder="1" applyAlignment="1">
      <alignment vertical="center"/>
    </xf>
    <xf numFmtId="4" fontId="18" fillId="0" borderId="10" xfId="2" applyNumberFormat="1" applyFont="1" applyFill="1" applyBorder="1" applyAlignment="1">
      <alignment vertical="center"/>
    </xf>
    <xf numFmtId="4" fontId="17" fillId="0" borderId="0" xfId="2" applyNumberFormat="1" applyFont="1" applyBorder="1" applyAlignment="1">
      <alignment vertical="center"/>
    </xf>
    <xf numFmtId="0" fontId="16" fillId="2" borderId="17" xfId="2" applyNumberFormat="1" applyFont="1" applyFill="1" applyBorder="1" applyAlignment="1">
      <alignment horizontal="center" vertical="center"/>
    </xf>
    <xf numFmtId="4" fontId="20" fillId="5" borderId="1" xfId="2" applyNumberFormat="1" applyFont="1" applyFill="1" applyBorder="1" applyAlignment="1">
      <alignment vertical="center"/>
    </xf>
    <xf numFmtId="4" fontId="17" fillId="0" borderId="10" xfId="2" applyNumberFormat="1" applyFont="1" applyFill="1" applyBorder="1" applyAlignment="1">
      <alignment vertical="center"/>
    </xf>
    <xf numFmtId="10" fontId="16" fillId="0" borderId="1" xfId="9" applyNumberFormat="1" applyFont="1" applyBorder="1" applyAlignment="1">
      <alignment vertical="center"/>
    </xf>
    <xf numFmtId="4" fontId="20" fillId="0" borderId="1" xfId="2" applyNumberFormat="1" applyFont="1" applyFill="1" applyBorder="1" applyAlignment="1">
      <alignment vertical="center"/>
    </xf>
    <xf numFmtId="4" fontId="17" fillId="0" borderId="1" xfId="2" applyNumberFormat="1" applyFont="1" applyFill="1" applyBorder="1" applyAlignment="1">
      <alignment vertical="center"/>
    </xf>
    <xf numFmtId="4" fontId="17" fillId="0" borderId="17" xfId="2" applyNumberFormat="1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10" fontId="16" fillId="0" borderId="1" xfId="9" applyNumberFormat="1" applyFont="1" applyFill="1" applyBorder="1" applyAlignment="1">
      <alignment vertical="center"/>
    </xf>
    <xf numFmtId="10" fontId="16" fillId="0" borderId="1" xfId="9" applyNumberFormat="1" applyFont="1" applyBorder="1" applyAlignment="1">
      <alignment horizontal="right" vertical="center" wrapText="1"/>
    </xf>
    <xf numFmtId="2" fontId="16" fillId="0" borderId="1" xfId="9" applyNumberFormat="1" applyFont="1" applyBorder="1" applyAlignment="1">
      <alignment vertical="center"/>
    </xf>
    <xf numFmtId="4" fontId="16" fillId="5" borderId="1" xfId="2" applyNumberFormat="1" applyFont="1" applyFill="1" applyBorder="1" applyAlignment="1">
      <alignment horizontal="center" vertical="center" wrapText="1"/>
    </xf>
    <xf numFmtId="4" fontId="16" fillId="0" borderId="1" xfId="2" applyNumberFormat="1" applyFont="1" applyFill="1" applyBorder="1" applyAlignment="1">
      <alignment vertical="center"/>
    </xf>
    <xf numFmtId="4" fontId="22" fillId="3" borderId="14" xfId="2" applyNumberFormat="1" applyFont="1" applyFill="1" applyBorder="1" applyAlignment="1">
      <alignment vertical="center"/>
    </xf>
    <xf numFmtId="4" fontId="19" fillId="0" borderId="0" xfId="0" applyNumberFormat="1" applyFont="1" applyFill="1"/>
    <xf numFmtId="4" fontId="16" fillId="0" borderId="13" xfId="2" applyNumberFormat="1" applyFont="1" applyFill="1" applyBorder="1" applyAlignment="1">
      <alignment vertical="center"/>
    </xf>
    <xf numFmtId="4" fontId="16" fillId="0" borderId="16" xfId="2" applyNumberFormat="1" applyFont="1" applyFill="1" applyBorder="1" applyAlignment="1">
      <alignment vertical="center"/>
    </xf>
    <xf numFmtId="4" fontId="16" fillId="0" borderId="10" xfId="2" applyNumberFormat="1" applyFont="1" applyFill="1" applyBorder="1" applyAlignment="1">
      <alignment vertical="center"/>
    </xf>
    <xf numFmtId="4" fontId="16" fillId="6" borderId="1" xfId="2" applyNumberFormat="1" applyFont="1" applyFill="1" applyBorder="1" applyAlignment="1">
      <alignment vertical="center"/>
    </xf>
    <xf numFmtId="4" fontId="23" fillId="6" borderId="1" xfId="2" applyNumberFormat="1" applyFont="1" applyFill="1" applyBorder="1" applyAlignment="1">
      <alignment vertical="center"/>
    </xf>
    <xf numFmtId="0" fontId="3" fillId="0" borderId="0" xfId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" fontId="20" fillId="0" borderId="0" xfId="0" applyNumberFormat="1" applyFont="1" applyAlignment="1">
      <alignment horizontal="center" vertical="top" wrapText="1"/>
    </xf>
    <xf numFmtId="0" fontId="10" fillId="0" borderId="1" xfId="2" applyFont="1" applyBorder="1" applyAlignment="1">
      <alignment horizontal="left" vertical="center" wrapText="1"/>
    </xf>
    <xf numFmtId="0" fontId="9" fillId="0" borderId="4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11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  <xf numFmtId="0" fontId="9" fillId="0" borderId="8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8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left" vertical="center" wrapText="1"/>
    </xf>
    <xf numFmtId="0" fontId="11" fillId="0" borderId="21" xfId="7" applyFont="1" applyFill="1" applyBorder="1" applyAlignment="1">
      <alignment horizontal="left" vertical="center" wrapText="1"/>
    </xf>
    <xf numFmtId="0" fontId="11" fillId="0" borderId="9" xfId="7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top" wrapText="1"/>
    </xf>
    <xf numFmtId="0" fontId="10" fillId="4" borderId="1" xfId="2" applyFont="1" applyFill="1" applyBorder="1" applyAlignment="1">
      <alignment horizontal="left" vertical="center" wrapText="1"/>
    </xf>
    <xf numFmtId="0" fontId="8" fillId="0" borderId="8" xfId="0" applyFont="1" applyBorder="1"/>
    <xf numFmtId="0" fontId="10" fillId="0" borderId="1" xfId="2" applyFont="1" applyBorder="1" applyAlignment="1">
      <alignment horizontal="left" vertical="center"/>
    </xf>
    <xf numFmtId="0" fontId="11" fillId="4" borderId="2" xfId="2" applyFont="1" applyFill="1" applyBorder="1" applyAlignment="1">
      <alignment horizontal="left" vertical="center" wrapText="1"/>
    </xf>
    <xf numFmtId="0" fontId="11" fillId="4" borderId="8" xfId="2" applyFont="1" applyFill="1" applyBorder="1" applyAlignment="1">
      <alignment horizontal="left" vertical="center" wrapText="1"/>
    </xf>
    <xf numFmtId="0" fontId="10" fillId="4" borderId="2" xfId="2" applyFont="1" applyFill="1" applyBorder="1" applyAlignment="1">
      <alignment horizontal="left" vertical="center" wrapText="1" indent="2"/>
    </xf>
    <xf numFmtId="0" fontId="10" fillId="4" borderId="8" xfId="2" applyFont="1" applyFill="1" applyBorder="1" applyAlignment="1">
      <alignment horizontal="left" vertical="center" wrapText="1" indent="2"/>
    </xf>
  </cellXfs>
  <cellStyles count="10">
    <cellStyle name="Normalny" xfId="0" builtinId="0"/>
    <cellStyle name="Normalny 2" xfId="3"/>
    <cellStyle name="Normalny 3" xfId="4"/>
    <cellStyle name="Normalny 4" xfId="5"/>
    <cellStyle name="Normalny 5" xfId="6"/>
    <cellStyle name="Normalny 6" xfId="7"/>
    <cellStyle name="Normalny 6 2" xfId="2"/>
    <cellStyle name="Normalny_Prognoza i kredyty-tabele 2003" xfId="1"/>
    <cellStyle name="Procentowy" xfId="9" builtinId="5"/>
    <cellStyle name="Procentowy 2" xfId="8"/>
  </cellStyles>
  <dxfs count="0"/>
  <tableStyles count="0" defaultTableStyle="TableStyleMedium9" defaultPivotStyle="PivotStyleLight16"/>
  <colors>
    <mruColors>
      <color rgb="FF99CCFF"/>
      <color rgb="FFFF5A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W62"/>
  <sheetViews>
    <sheetView tabSelected="1" view="pageLayout" topLeftCell="C1" workbookViewId="0">
      <selection activeCell="F14" sqref="F14"/>
    </sheetView>
  </sheetViews>
  <sheetFormatPr defaultRowHeight="14.25"/>
  <cols>
    <col min="1" max="1" width="5.5" style="1" customWidth="1"/>
    <col min="2" max="2" width="1.875" customWidth="1"/>
    <col min="3" max="3" width="2.5" customWidth="1"/>
    <col min="4" max="4" width="41.5" customWidth="1"/>
    <col min="5" max="5" width="9.5" style="3" hidden="1" customWidth="1"/>
    <col min="6" max="16" width="9.25" style="71" customWidth="1"/>
  </cols>
  <sheetData>
    <row r="1" spans="1:231" ht="48" customHeight="1">
      <c r="A1" s="111"/>
      <c r="B1" s="111"/>
      <c r="C1" s="111"/>
      <c r="D1" s="111"/>
      <c r="E1" s="97"/>
      <c r="F1" s="104"/>
      <c r="O1" s="112" t="s">
        <v>75</v>
      </c>
      <c r="P1" s="112"/>
    </row>
    <row r="2" spans="1:231" ht="71.25" customHeight="1" thickBot="1">
      <c r="A2" s="110" t="s">
        <v>74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231" ht="21" customHeight="1" thickBot="1">
      <c r="A3" s="9" t="s">
        <v>16</v>
      </c>
      <c r="B3" s="10" t="s">
        <v>15</v>
      </c>
      <c r="C3" s="10"/>
      <c r="D3" s="11"/>
      <c r="E3" s="90">
        <v>2011</v>
      </c>
      <c r="F3" s="90">
        <v>2012</v>
      </c>
      <c r="G3" s="90">
        <v>2013</v>
      </c>
      <c r="H3" s="90">
        <v>2014</v>
      </c>
      <c r="I3" s="90">
        <v>2015</v>
      </c>
      <c r="J3" s="90">
        <v>2016</v>
      </c>
      <c r="K3" s="90">
        <v>2017</v>
      </c>
      <c r="L3" s="90">
        <v>2018</v>
      </c>
      <c r="M3" s="90">
        <v>2019</v>
      </c>
      <c r="N3" s="90">
        <v>2020</v>
      </c>
      <c r="O3" s="90">
        <v>2021</v>
      </c>
      <c r="P3" s="90">
        <v>2022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</row>
    <row r="4" spans="1:231" ht="21" customHeight="1">
      <c r="A4" s="12" t="s">
        <v>8</v>
      </c>
      <c r="B4" s="13" t="s">
        <v>59</v>
      </c>
      <c r="C4" s="13"/>
      <c r="D4" s="14"/>
      <c r="E4" s="72">
        <f>E5+E8</f>
        <v>53969068.100000001</v>
      </c>
      <c r="F4" s="72">
        <f>F5+F8</f>
        <v>51472796.599999994</v>
      </c>
      <c r="G4" s="72">
        <f t="shared" ref="G4:P4" si="0">G5+G8</f>
        <v>56455892.5</v>
      </c>
      <c r="H4" s="72">
        <f t="shared" si="0"/>
        <v>57410338.829999998</v>
      </c>
      <c r="I4" s="72">
        <f t="shared" si="0"/>
        <v>56442488.439999998</v>
      </c>
      <c r="J4" s="72">
        <f t="shared" si="0"/>
        <v>58293533.039999999</v>
      </c>
      <c r="K4" s="72">
        <f t="shared" si="0"/>
        <v>59207513.170000002</v>
      </c>
      <c r="L4" s="72">
        <f t="shared" si="0"/>
        <v>60186568.609999999</v>
      </c>
      <c r="M4" s="72">
        <f t="shared" si="0"/>
        <v>62232911.950000003</v>
      </c>
      <c r="N4" s="72">
        <f t="shared" si="0"/>
        <v>64348830.950000003</v>
      </c>
      <c r="O4" s="72">
        <f t="shared" si="0"/>
        <v>66279295.880000003</v>
      </c>
      <c r="P4" s="72">
        <f t="shared" si="0"/>
        <v>68267674.760000005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</row>
    <row r="5" spans="1:231" ht="21" customHeight="1">
      <c r="A5" s="15"/>
      <c r="B5" s="16"/>
      <c r="C5" s="120" t="s">
        <v>17</v>
      </c>
      <c r="D5" s="121"/>
      <c r="E5" s="73">
        <v>50734927.890000001</v>
      </c>
      <c r="F5" s="73">
        <f>48574533.3+1548</f>
        <v>48576081.299999997</v>
      </c>
      <c r="G5" s="73">
        <v>50627221.060000002</v>
      </c>
      <c r="H5" s="73">
        <v>52652309.899999999</v>
      </c>
      <c r="I5" s="73">
        <v>54442488.439999998</v>
      </c>
      <c r="J5" s="73">
        <v>56293533.039999999</v>
      </c>
      <c r="K5" s="73">
        <v>58207513.170000002</v>
      </c>
      <c r="L5" s="73">
        <v>60186568.609999999</v>
      </c>
      <c r="M5" s="73">
        <v>62232911.950000003</v>
      </c>
      <c r="N5" s="73">
        <v>64348830.950000003</v>
      </c>
      <c r="O5" s="73">
        <v>66279295.880000003</v>
      </c>
      <c r="P5" s="73">
        <v>68267674.760000005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</row>
    <row r="6" spans="1:231" ht="21" customHeight="1">
      <c r="A6" s="15"/>
      <c r="B6" s="16"/>
      <c r="C6" s="122" t="s">
        <v>60</v>
      </c>
      <c r="D6" s="12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</row>
    <row r="7" spans="1:231" ht="21" customHeight="1">
      <c r="A7" s="15"/>
      <c r="B7" s="16"/>
      <c r="C7" s="17"/>
      <c r="D7" s="19" t="s">
        <v>61</v>
      </c>
      <c r="E7" s="91"/>
      <c r="F7" s="94">
        <v>1340400.72</v>
      </c>
      <c r="G7" s="94">
        <v>1976698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</row>
    <row r="8" spans="1:231" ht="21" customHeight="1">
      <c r="A8" s="15"/>
      <c r="B8" s="16"/>
      <c r="C8" s="122" t="s">
        <v>18</v>
      </c>
      <c r="D8" s="123"/>
      <c r="E8" s="73">
        <v>3234140.21</v>
      </c>
      <c r="F8" s="95">
        <f>2519943.83+790312.33-413540.86</f>
        <v>2896715.3000000003</v>
      </c>
      <c r="G8" s="95">
        <f>2925650.88+903020.56+2000000</f>
        <v>5828671.4399999995</v>
      </c>
      <c r="H8" s="95">
        <f>4654291.82-903020.56+321407.15+685350.52</f>
        <v>4758028.93</v>
      </c>
      <c r="I8" s="73">
        <v>2000000</v>
      </c>
      <c r="J8" s="73">
        <v>2000000</v>
      </c>
      <c r="K8" s="73">
        <v>1000000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</row>
    <row r="9" spans="1:231" ht="21" customHeight="1">
      <c r="A9" s="20"/>
      <c r="B9" s="21"/>
      <c r="C9" s="122" t="s">
        <v>60</v>
      </c>
      <c r="D9" s="123"/>
      <c r="E9" s="74"/>
      <c r="F9" s="96"/>
      <c r="G9" s="96"/>
      <c r="H9" s="96"/>
      <c r="I9" s="74"/>
      <c r="J9" s="74"/>
      <c r="K9" s="74"/>
      <c r="L9" s="74"/>
      <c r="M9" s="74"/>
      <c r="N9" s="74"/>
      <c r="O9" s="74"/>
      <c r="P9" s="74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</row>
    <row r="10" spans="1:231" ht="21" customHeight="1">
      <c r="A10" s="20"/>
      <c r="B10" s="21"/>
      <c r="C10" s="22"/>
      <c r="D10" s="18" t="s">
        <v>62</v>
      </c>
      <c r="E10" s="74">
        <v>126246.9</v>
      </c>
      <c r="F10" s="96">
        <v>1500000</v>
      </c>
      <c r="G10" s="96">
        <v>2400000</v>
      </c>
      <c r="H10" s="96">
        <v>1800000</v>
      </c>
      <c r="I10" s="74">
        <v>500000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</row>
    <row r="11" spans="1:231" ht="21" customHeight="1" thickBot="1">
      <c r="A11" s="23"/>
      <c r="B11" s="24"/>
      <c r="C11" s="24"/>
      <c r="D11" s="19" t="s">
        <v>61</v>
      </c>
      <c r="E11" s="92"/>
      <c r="F11" s="92">
        <f>F8-F10-790312.33</f>
        <v>606402.97000000032</v>
      </c>
      <c r="G11" s="92">
        <f>G8-G10-2000000</f>
        <v>1428671.4399999995</v>
      </c>
      <c r="H11" s="92">
        <f>2272678.41+685350.52</f>
        <v>2958028.93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</row>
    <row r="12" spans="1:231" ht="21" customHeight="1">
      <c r="A12" s="12" t="s">
        <v>9</v>
      </c>
      <c r="B12" s="13" t="s">
        <v>19</v>
      </c>
      <c r="C12" s="13"/>
      <c r="D12" s="14"/>
      <c r="E12" s="72">
        <f>E13+E22</f>
        <v>61244296.620000005</v>
      </c>
      <c r="F12" s="105">
        <f>F13+F22</f>
        <v>55233047.189999998</v>
      </c>
      <c r="G12" s="105">
        <f t="shared" ref="G12:P12" si="1">G13+G22</f>
        <v>56072070.210000001</v>
      </c>
      <c r="H12" s="105">
        <f t="shared" si="1"/>
        <v>54372309.899999999</v>
      </c>
      <c r="I12" s="72">
        <f t="shared" si="1"/>
        <v>55092488.439999998</v>
      </c>
      <c r="J12" s="72">
        <f t="shared" si="1"/>
        <v>56093533.039999999</v>
      </c>
      <c r="K12" s="72">
        <f t="shared" si="1"/>
        <v>56757513.170000002</v>
      </c>
      <c r="L12" s="72">
        <f t="shared" si="1"/>
        <v>57336568.609999999</v>
      </c>
      <c r="M12" s="72">
        <f t="shared" si="1"/>
        <v>58382911.950000003</v>
      </c>
      <c r="N12" s="72">
        <f t="shared" si="1"/>
        <v>59348830.950000003</v>
      </c>
      <c r="O12" s="72">
        <f t="shared" si="1"/>
        <v>61279295.880000003</v>
      </c>
      <c r="P12" s="72">
        <f t="shared" si="1"/>
        <v>67775403.230000004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</row>
    <row r="13" spans="1:231" ht="21" customHeight="1">
      <c r="A13" s="25"/>
      <c r="B13" s="26"/>
      <c r="C13" s="27" t="s">
        <v>20</v>
      </c>
      <c r="D13" s="28"/>
      <c r="E13" s="76">
        <v>51170157.770000003</v>
      </c>
      <c r="F13" s="102">
        <f>F14+F19</f>
        <v>48616081.299999997</v>
      </c>
      <c r="G13" s="102">
        <f t="shared" ref="G13:P13" si="2">G14+G19</f>
        <v>48697221.060000002</v>
      </c>
      <c r="H13" s="102">
        <f t="shared" si="2"/>
        <v>50512309.899999999</v>
      </c>
      <c r="I13" s="76">
        <f t="shared" si="2"/>
        <v>51332488.439999998</v>
      </c>
      <c r="J13" s="76">
        <f t="shared" si="2"/>
        <v>52315533.039999999</v>
      </c>
      <c r="K13" s="76">
        <f t="shared" si="2"/>
        <v>53294513.170000002</v>
      </c>
      <c r="L13" s="76">
        <f t="shared" si="2"/>
        <v>54371568.609999999</v>
      </c>
      <c r="M13" s="76">
        <f t="shared" si="2"/>
        <v>56232911.950000003</v>
      </c>
      <c r="N13" s="76">
        <f t="shared" si="2"/>
        <v>58348830.950000003</v>
      </c>
      <c r="O13" s="76">
        <f t="shared" si="2"/>
        <v>60279295.880000003</v>
      </c>
      <c r="P13" s="76">
        <f t="shared" si="2"/>
        <v>61842674.759999998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</row>
    <row r="14" spans="1:231" ht="21" customHeight="1">
      <c r="A14" s="25"/>
      <c r="B14" s="26"/>
      <c r="C14" s="29"/>
      <c r="D14" s="28" t="s">
        <v>21</v>
      </c>
      <c r="E14" s="76">
        <f>52042285.45-E19+2000</f>
        <v>51126354.790000007</v>
      </c>
      <c r="F14" s="102">
        <f>48614533.3-F19+1548</f>
        <v>47136081.299999997</v>
      </c>
      <c r="G14" s="102">
        <v>47242221.060000002</v>
      </c>
      <c r="H14" s="102">
        <v>49112309.899999999</v>
      </c>
      <c r="I14" s="76">
        <v>49952488.439999998</v>
      </c>
      <c r="J14" s="76">
        <v>50988533.039999999</v>
      </c>
      <c r="K14" s="76">
        <v>52088513.170000002</v>
      </c>
      <c r="L14" s="76">
        <v>53300568.609999999</v>
      </c>
      <c r="M14" s="76">
        <v>55317911.950000003</v>
      </c>
      <c r="N14" s="76">
        <v>57645830.950000003</v>
      </c>
      <c r="O14" s="76">
        <v>59852295.880000003</v>
      </c>
      <c r="P14" s="76">
        <v>61717674.759999998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</row>
    <row r="15" spans="1:231" ht="21" customHeight="1">
      <c r="A15" s="25"/>
      <c r="B15" s="26"/>
      <c r="C15" s="29"/>
      <c r="D15" s="28" t="s">
        <v>63</v>
      </c>
      <c r="E15" s="76"/>
      <c r="F15" s="102"/>
      <c r="G15" s="102"/>
      <c r="H15" s="102"/>
      <c r="I15" s="76"/>
      <c r="J15" s="76"/>
      <c r="K15" s="76"/>
      <c r="L15" s="76"/>
      <c r="M15" s="76"/>
      <c r="N15" s="76"/>
      <c r="O15" s="76"/>
      <c r="P15" s="7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</row>
    <row r="16" spans="1:231" ht="21" customHeight="1">
      <c r="A16" s="25"/>
      <c r="B16" s="26"/>
      <c r="C16" s="29"/>
      <c r="D16" s="30" t="s">
        <v>64</v>
      </c>
      <c r="E16" s="76">
        <v>0</v>
      </c>
      <c r="F16" s="102"/>
      <c r="G16" s="102"/>
      <c r="H16" s="102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</row>
    <row r="17" spans="1:231" ht="21" customHeight="1">
      <c r="A17" s="25"/>
      <c r="B17" s="26"/>
      <c r="C17" s="29"/>
      <c r="D17" s="35" t="s">
        <v>65</v>
      </c>
      <c r="E17" s="76">
        <v>0</v>
      </c>
      <c r="F17" s="102">
        <v>0</v>
      </c>
      <c r="G17" s="102">
        <v>0</v>
      </c>
      <c r="H17" s="102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</row>
    <row r="18" spans="1:231" ht="21" customHeight="1">
      <c r="A18" s="25"/>
      <c r="B18" s="26"/>
      <c r="C18" s="29"/>
      <c r="D18" s="30" t="s">
        <v>66</v>
      </c>
      <c r="E18" s="76">
        <v>1844393</v>
      </c>
      <c r="F18" s="102">
        <f>1387889.42</f>
        <v>1387889.42</v>
      </c>
      <c r="G18" s="102">
        <v>2139496</v>
      </c>
      <c r="H18" s="102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</row>
    <row r="19" spans="1:231" ht="21" customHeight="1">
      <c r="A19" s="25"/>
      <c r="B19" s="26"/>
      <c r="C19" s="16"/>
      <c r="D19" s="28" t="s">
        <v>67</v>
      </c>
      <c r="E19" s="73">
        <f>E21+1500</f>
        <v>917930.66</v>
      </c>
      <c r="F19" s="95">
        <v>1480000</v>
      </c>
      <c r="G19" s="95">
        <f t="shared" ref="G19:L19" si="3">G21</f>
        <v>1455000</v>
      </c>
      <c r="H19" s="95">
        <f t="shared" si="3"/>
        <v>1400000</v>
      </c>
      <c r="I19" s="73">
        <f t="shared" si="3"/>
        <v>1380000</v>
      </c>
      <c r="J19" s="73">
        <f t="shared" si="3"/>
        <v>1327000</v>
      </c>
      <c r="K19" s="73">
        <f t="shared" si="3"/>
        <v>1206000</v>
      </c>
      <c r="L19" s="73">
        <f t="shared" si="3"/>
        <v>1071000</v>
      </c>
      <c r="M19" s="73">
        <v>915000</v>
      </c>
      <c r="N19" s="73">
        <v>703000</v>
      </c>
      <c r="O19" s="73">
        <v>427000</v>
      </c>
      <c r="P19" s="73">
        <v>125000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</row>
    <row r="20" spans="1:231" ht="21" customHeight="1">
      <c r="A20" s="31"/>
      <c r="B20" s="32"/>
      <c r="C20" s="21"/>
      <c r="D20" s="33" t="s">
        <v>68</v>
      </c>
      <c r="E20" s="74"/>
      <c r="F20" s="96"/>
      <c r="G20" s="96"/>
      <c r="H20" s="96"/>
      <c r="I20" s="74"/>
      <c r="J20" s="74"/>
      <c r="K20" s="74"/>
      <c r="L20" s="74"/>
      <c r="M20" s="74"/>
      <c r="N20" s="74"/>
      <c r="O20" s="74"/>
      <c r="P20" s="7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</row>
    <row r="21" spans="1:231" ht="21" customHeight="1">
      <c r="A21" s="31"/>
      <c r="B21" s="32"/>
      <c r="C21" s="21"/>
      <c r="D21" s="34" t="s">
        <v>69</v>
      </c>
      <c r="E21" s="74">
        <v>916430.66</v>
      </c>
      <c r="F21" s="96">
        <v>1480000</v>
      </c>
      <c r="G21" s="96">
        <f>1510000-55000</f>
        <v>1455000</v>
      </c>
      <c r="H21" s="96">
        <v>1400000</v>
      </c>
      <c r="I21" s="96">
        <v>1380000</v>
      </c>
      <c r="J21" s="96">
        <v>1327000</v>
      </c>
      <c r="K21" s="96">
        <v>1206000</v>
      </c>
      <c r="L21" s="96">
        <v>1071000</v>
      </c>
      <c r="M21" s="96">
        <v>915000</v>
      </c>
      <c r="N21" s="96">
        <v>703000</v>
      </c>
      <c r="O21" s="96">
        <v>427000</v>
      </c>
      <c r="P21" s="96">
        <v>125000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</row>
    <row r="22" spans="1:231" ht="21" customHeight="1">
      <c r="A22" s="25"/>
      <c r="B22" s="26"/>
      <c r="C22" s="27" t="s">
        <v>22</v>
      </c>
      <c r="D22" s="36"/>
      <c r="E22" s="73">
        <v>10074138.85</v>
      </c>
      <c r="F22" s="95">
        <f>7423260.62-806294.73</f>
        <v>6616965.8900000006</v>
      </c>
      <c r="G22" s="95">
        <f>6568554.42+806294.73</f>
        <v>7374849.1500000004</v>
      </c>
      <c r="H22" s="95">
        <f>2855150+1044850+40000-80000</f>
        <v>3860000</v>
      </c>
      <c r="I22" s="73">
        <f>2855150+883850-350000+371000</f>
        <v>3760000</v>
      </c>
      <c r="J22" s="73">
        <v>3778000</v>
      </c>
      <c r="K22" s="73">
        <v>3463000</v>
      </c>
      <c r="L22" s="73">
        <v>2965000</v>
      </c>
      <c r="M22" s="73">
        <v>2150000</v>
      </c>
      <c r="N22" s="73">
        <v>1000000</v>
      </c>
      <c r="O22" s="73">
        <v>1000000</v>
      </c>
      <c r="P22" s="73">
        <v>5932728.4699999997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</row>
    <row r="23" spans="1:231" ht="21" customHeight="1">
      <c r="A23" s="25"/>
      <c r="B23" s="26"/>
      <c r="C23" s="27" t="s">
        <v>60</v>
      </c>
      <c r="D23" s="36"/>
      <c r="E23" s="73"/>
      <c r="F23" s="95"/>
      <c r="G23" s="95"/>
      <c r="H23" s="95"/>
      <c r="I23" s="73"/>
      <c r="J23" s="73"/>
      <c r="K23" s="73"/>
      <c r="L23" s="73"/>
      <c r="M23" s="73"/>
      <c r="N23" s="73"/>
      <c r="O23" s="73"/>
      <c r="P23" s="73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</row>
    <row r="24" spans="1:231" ht="21" customHeight="1" thickBot="1">
      <c r="A24" s="25"/>
      <c r="B24" s="26"/>
      <c r="C24" s="27"/>
      <c r="D24" s="36" t="s">
        <v>66</v>
      </c>
      <c r="E24" s="73"/>
      <c r="F24" s="95">
        <f>2627806.05+1078098.57-806294.73</f>
        <v>2899609.89</v>
      </c>
      <c r="G24" s="95">
        <f>1078465.47+1023161.57+611777.38+806294.73</f>
        <v>3519699.15</v>
      </c>
      <c r="H24" s="95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</row>
    <row r="25" spans="1:231" ht="21" customHeight="1" thickBot="1">
      <c r="A25" s="37" t="s">
        <v>10</v>
      </c>
      <c r="B25" s="38" t="s">
        <v>23</v>
      </c>
      <c r="C25" s="38"/>
      <c r="D25" s="39"/>
      <c r="E25" s="77">
        <f>E4-E12</f>
        <v>-7275228.5200000033</v>
      </c>
      <c r="F25" s="106">
        <f>F4-F12</f>
        <v>-3760250.5900000036</v>
      </c>
      <c r="G25" s="106">
        <f t="shared" ref="G25:P25" si="4">G4-G12</f>
        <v>383822.28999999911</v>
      </c>
      <c r="H25" s="106">
        <f t="shared" si="4"/>
        <v>3038028.9299999997</v>
      </c>
      <c r="I25" s="77">
        <f t="shared" si="4"/>
        <v>1350000</v>
      </c>
      <c r="J25" s="77">
        <f t="shared" si="4"/>
        <v>2200000</v>
      </c>
      <c r="K25" s="77">
        <f t="shared" si="4"/>
        <v>2450000</v>
      </c>
      <c r="L25" s="77">
        <f t="shared" si="4"/>
        <v>2850000</v>
      </c>
      <c r="M25" s="77">
        <f t="shared" si="4"/>
        <v>3850000</v>
      </c>
      <c r="N25" s="77">
        <f t="shared" si="4"/>
        <v>5000000</v>
      </c>
      <c r="O25" s="77">
        <f t="shared" si="4"/>
        <v>5000000</v>
      </c>
      <c r="P25" s="77">
        <f t="shared" si="4"/>
        <v>492271.53000000119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</row>
    <row r="26" spans="1:231" ht="21" customHeight="1" thickBot="1">
      <c r="A26" s="40" t="s">
        <v>11</v>
      </c>
      <c r="B26" s="41" t="s">
        <v>24</v>
      </c>
      <c r="C26" s="42"/>
      <c r="D26" s="43"/>
      <c r="E26" s="78">
        <f>E5-E13</f>
        <v>-435229.88000000268</v>
      </c>
      <c r="F26" s="78">
        <f>F5-F13</f>
        <v>-40000</v>
      </c>
      <c r="G26" s="78">
        <f t="shared" ref="G26:P26" si="5">G5-G13</f>
        <v>1930000</v>
      </c>
      <c r="H26" s="78">
        <f t="shared" si="5"/>
        <v>2140000</v>
      </c>
      <c r="I26" s="78">
        <f t="shared" si="5"/>
        <v>3110000</v>
      </c>
      <c r="J26" s="78">
        <f t="shared" si="5"/>
        <v>3978000</v>
      </c>
      <c r="K26" s="78">
        <f t="shared" si="5"/>
        <v>4913000</v>
      </c>
      <c r="L26" s="78">
        <f t="shared" si="5"/>
        <v>5815000</v>
      </c>
      <c r="M26" s="78">
        <f t="shared" si="5"/>
        <v>6000000</v>
      </c>
      <c r="N26" s="78">
        <f t="shared" si="5"/>
        <v>6000000</v>
      </c>
      <c r="O26" s="78">
        <f t="shared" si="5"/>
        <v>6000000</v>
      </c>
      <c r="P26" s="78">
        <f t="shared" si="5"/>
        <v>6425000.0000000075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</row>
    <row r="27" spans="1:231" ht="21" customHeight="1">
      <c r="A27" s="12" t="s">
        <v>6</v>
      </c>
      <c r="B27" s="13" t="s">
        <v>0</v>
      </c>
      <c r="C27" s="13"/>
      <c r="D27" s="14"/>
      <c r="E27" s="72">
        <f>E28+E30+E32</f>
        <v>10454440.25</v>
      </c>
      <c r="F27" s="72">
        <f>F28+F30+F32</f>
        <v>9581187.5700000003</v>
      </c>
      <c r="G27" s="72">
        <f>G28+G30+G32</f>
        <v>4119849.01</v>
      </c>
      <c r="H27" s="72">
        <f t="shared" ref="H27:P27" si="6">H28+H30+H32</f>
        <v>0</v>
      </c>
      <c r="I27" s="72">
        <f t="shared" si="6"/>
        <v>0</v>
      </c>
      <c r="J27" s="72">
        <f t="shared" si="6"/>
        <v>0</v>
      </c>
      <c r="K27" s="72">
        <f t="shared" si="6"/>
        <v>0</v>
      </c>
      <c r="L27" s="72">
        <f t="shared" si="6"/>
        <v>0</v>
      </c>
      <c r="M27" s="72">
        <f t="shared" si="6"/>
        <v>0</v>
      </c>
      <c r="N27" s="72">
        <f t="shared" si="6"/>
        <v>0</v>
      </c>
      <c r="O27" s="72">
        <f t="shared" si="6"/>
        <v>0</v>
      </c>
      <c r="P27" s="72">
        <f t="shared" si="6"/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</row>
    <row r="28" spans="1:231" ht="21" customHeight="1">
      <c r="A28" s="15"/>
      <c r="B28" s="44"/>
      <c r="C28" s="122" t="s">
        <v>25</v>
      </c>
      <c r="D28" s="123"/>
      <c r="E28" s="76">
        <v>2309168.83</v>
      </c>
      <c r="F28" s="76">
        <v>1179211.73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</row>
    <row r="29" spans="1:231" ht="21" customHeight="1">
      <c r="A29" s="15"/>
      <c r="B29" s="27"/>
      <c r="C29" s="27"/>
      <c r="D29" s="45" t="s">
        <v>26</v>
      </c>
      <c r="E29" s="73">
        <v>2309168.83</v>
      </c>
      <c r="F29" s="95">
        <v>1179211.73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</row>
    <row r="30" spans="1:231" ht="21" customHeight="1">
      <c r="A30" s="15"/>
      <c r="B30" s="44"/>
      <c r="C30" s="27" t="s">
        <v>27</v>
      </c>
      <c r="D30" s="46"/>
      <c r="E30" s="76">
        <v>8145271.4199999999</v>
      </c>
      <c r="F30" s="102">
        <f>3692679.75+4009296.09</f>
        <v>7701975.8399999999</v>
      </c>
      <c r="G30" s="76">
        <f>3313554.28+806294.73</f>
        <v>4119849.01</v>
      </c>
      <c r="H30" s="76"/>
      <c r="I30" s="76"/>
      <c r="J30" s="76">
        <v>0</v>
      </c>
      <c r="K30" s="76"/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</row>
    <row r="31" spans="1:231" ht="21" customHeight="1">
      <c r="A31" s="15"/>
      <c r="B31" s="44"/>
      <c r="C31" s="27"/>
      <c r="D31" s="47" t="s">
        <v>28</v>
      </c>
      <c r="E31" s="79">
        <v>6145271.4199999999</v>
      </c>
      <c r="F31" s="109">
        <v>2581038.86</v>
      </c>
      <c r="G31" s="108"/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</row>
    <row r="32" spans="1:231" ht="21" customHeight="1">
      <c r="A32" s="15"/>
      <c r="B32" s="44"/>
      <c r="C32" s="27" t="s">
        <v>29</v>
      </c>
      <c r="D32" s="46"/>
      <c r="E32" s="76">
        <v>0</v>
      </c>
      <c r="F32" s="102">
        <v>700000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</row>
    <row r="33" spans="1:231" ht="21" customHeight="1" thickBot="1">
      <c r="A33" s="23"/>
      <c r="B33" s="48"/>
      <c r="C33" s="49"/>
      <c r="D33" s="50" t="s">
        <v>28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</row>
    <row r="34" spans="1:231" ht="21" customHeight="1">
      <c r="A34" s="51" t="s">
        <v>7</v>
      </c>
      <c r="B34" s="52" t="s">
        <v>30</v>
      </c>
      <c r="C34" s="52"/>
      <c r="D34" s="53"/>
      <c r="E34" s="81">
        <f>E35+E37</f>
        <v>2000000</v>
      </c>
      <c r="F34" s="81">
        <f>F35+F37</f>
        <v>5820936.9800000004</v>
      </c>
      <c r="G34" s="81">
        <f t="shared" ref="G34:L34" si="7">G35+G37</f>
        <v>4503671.3</v>
      </c>
      <c r="H34" s="81">
        <f t="shared" si="7"/>
        <v>3038028.93</v>
      </c>
      <c r="I34" s="81">
        <f t="shared" si="7"/>
        <v>1350000</v>
      </c>
      <c r="J34" s="81">
        <f t="shared" si="7"/>
        <v>2200000</v>
      </c>
      <c r="K34" s="81">
        <f t="shared" si="7"/>
        <v>2450000</v>
      </c>
      <c r="L34" s="81">
        <f t="shared" si="7"/>
        <v>2850000</v>
      </c>
      <c r="M34" s="81">
        <f>M35</f>
        <v>3850000</v>
      </c>
      <c r="N34" s="81">
        <f>N35</f>
        <v>5000000</v>
      </c>
      <c r="O34" s="81">
        <f>O35</f>
        <v>5000000</v>
      </c>
      <c r="P34" s="81">
        <f>P35</f>
        <v>492271.53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</row>
    <row r="35" spans="1:231" ht="21" customHeight="1">
      <c r="A35" s="15"/>
      <c r="B35" s="27"/>
      <c r="C35" s="122" t="s">
        <v>31</v>
      </c>
      <c r="D35" s="123"/>
      <c r="E35" s="73">
        <v>2000000</v>
      </c>
      <c r="F35" s="95">
        <v>5120936.9800000004</v>
      </c>
      <c r="G35" s="95">
        <f>2074999.86+G36</f>
        <v>4503671.3</v>
      </c>
      <c r="H35" s="95">
        <f>H36+80000</f>
        <v>3038028.93</v>
      </c>
      <c r="I35" s="73">
        <f>1350000</f>
        <v>1350000</v>
      </c>
      <c r="J35" s="73">
        <v>2200000</v>
      </c>
      <c r="K35" s="73">
        <v>2450000</v>
      </c>
      <c r="L35" s="73">
        <v>2850000</v>
      </c>
      <c r="M35" s="73">
        <v>3850000</v>
      </c>
      <c r="N35" s="73">
        <v>5000000</v>
      </c>
      <c r="O35" s="73">
        <v>5000000</v>
      </c>
      <c r="P35" s="73">
        <v>492271.53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</row>
    <row r="36" spans="1:231" ht="21" customHeight="1">
      <c r="A36" s="15"/>
      <c r="B36" s="16"/>
      <c r="C36" s="133" t="s">
        <v>32</v>
      </c>
      <c r="D36" s="134"/>
      <c r="E36" s="73">
        <v>0</v>
      </c>
      <c r="F36" s="95">
        <v>0</v>
      </c>
      <c r="G36" s="95">
        <f>F40</f>
        <v>2428671.44</v>
      </c>
      <c r="H36" s="95">
        <f>G40</f>
        <v>2958028.93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</row>
    <row r="37" spans="1:231" ht="21" customHeight="1" thickBot="1">
      <c r="A37" s="23"/>
      <c r="B37" s="54"/>
      <c r="C37" s="49" t="s">
        <v>33</v>
      </c>
      <c r="D37" s="55"/>
      <c r="E37" s="82">
        <v>0</v>
      </c>
      <c r="F37" s="107">
        <v>700000</v>
      </c>
      <c r="G37" s="107">
        <v>0</v>
      </c>
      <c r="H37" s="107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</row>
    <row r="38" spans="1:231" ht="21" customHeight="1">
      <c r="A38" s="51" t="s">
        <v>12</v>
      </c>
      <c r="B38" s="13" t="s">
        <v>34</v>
      </c>
      <c r="C38" s="13"/>
      <c r="D38" s="14"/>
      <c r="E38" s="81">
        <f>24033083.89+E39</f>
        <v>25821972.75</v>
      </c>
      <c r="F38" s="81">
        <f>E38+F30-F34-E39+F39+F32</f>
        <v>27850899.289999999</v>
      </c>
      <c r="G38" s="81">
        <f t="shared" ref="G38:K38" si="8">F38+G30-G34-F39+G39</f>
        <v>26547984.619999997</v>
      </c>
      <c r="H38" s="81">
        <f t="shared" si="8"/>
        <v>23446418.809999999</v>
      </c>
      <c r="I38" s="81">
        <f t="shared" si="8"/>
        <v>22032881.929999996</v>
      </c>
      <c r="J38" s="81">
        <f t="shared" si="8"/>
        <v>19769345.049999997</v>
      </c>
      <c r="K38" s="81">
        <f t="shared" si="8"/>
        <v>17255808.169999998</v>
      </c>
      <c r="L38" s="81">
        <f>K38+L30-L34-K39</f>
        <v>14342271.529999997</v>
      </c>
      <c r="M38" s="81">
        <f t="shared" ref="M38:P38" si="9">L38+M30-M34</f>
        <v>10492271.529999997</v>
      </c>
      <c r="N38" s="81">
        <f t="shared" si="9"/>
        <v>5492271.5299999975</v>
      </c>
      <c r="O38" s="81">
        <f t="shared" si="9"/>
        <v>492271.52999999747</v>
      </c>
      <c r="P38" s="81">
        <f t="shared" si="9"/>
        <v>-2.5611370801925659E-9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</row>
    <row r="39" spans="1:231" ht="21" customHeight="1">
      <c r="A39" s="51"/>
      <c r="B39" s="52"/>
      <c r="C39" s="131" t="s">
        <v>35</v>
      </c>
      <c r="D39" s="132"/>
      <c r="E39" s="103">
        <f>1788888.86</f>
        <v>1788888.86</v>
      </c>
      <c r="F39" s="103">
        <f>E39-933333.36+402400-21178.96</f>
        <v>1236776.54</v>
      </c>
      <c r="G39" s="103">
        <f>F39-855555.5-63536.88</f>
        <v>317684.16000000003</v>
      </c>
      <c r="H39" s="103">
        <f>G39-63536.88</f>
        <v>254147.28000000003</v>
      </c>
      <c r="I39" s="103">
        <f>H39-63536.88</f>
        <v>190610.40000000002</v>
      </c>
      <c r="J39" s="103">
        <f>I39-63536.88</f>
        <v>127073.52000000002</v>
      </c>
      <c r="K39" s="103">
        <f>J39-63536.88</f>
        <v>63536.640000000021</v>
      </c>
      <c r="L39" s="103">
        <v>0</v>
      </c>
      <c r="M39" s="103">
        <v>0</v>
      </c>
      <c r="N39" s="103">
        <v>0</v>
      </c>
      <c r="O39" s="103">
        <v>0</v>
      </c>
      <c r="P39" s="83">
        <v>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</row>
    <row r="40" spans="1:231" ht="21" customHeight="1">
      <c r="A40" s="25" t="s">
        <v>13</v>
      </c>
      <c r="B40" s="117" t="s">
        <v>36</v>
      </c>
      <c r="C40" s="118"/>
      <c r="D40" s="119"/>
      <c r="E40" s="73"/>
      <c r="F40" s="73">
        <f>466027.89+523329.38+536293.61+903020.56</f>
        <v>2428671.44</v>
      </c>
      <c r="G40" s="95">
        <f>903304.33+856967.05+512407.03+685350.52</f>
        <v>2958028.93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</row>
    <row r="41" spans="1:231" ht="21" customHeight="1">
      <c r="A41" s="56" t="s">
        <v>14</v>
      </c>
      <c r="B41" s="113" t="s">
        <v>37</v>
      </c>
      <c r="C41" s="130"/>
      <c r="D41" s="130"/>
      <c r="E41" s="93">
        <f>E38/E4</f>
        <v>0.47845874792861209</v>
      </c>
      <c r="F41" s="93">
        <f>F38/F4</f>
        <v>0.5410799709685874</v>
      </c>
      <c r="G41" s="93">
        <f>G38/G4</f>
        <v>0.47024293558019647</v>
      </c>
      <c r="H41" s="84"/>
      <c r="I41" s="84"/>
      <c r="J41" s="84"/>
      <c r="K41" s="84"/>
      <c r="L41" s="84"/>
      <c r="M41" s="84"/>
      <c r="N41" s="84"/>
      <c r="O41" s="84"/>
      <c r="P41" s="84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</row>
    <row r="42" spans="1:231" ht="21" customHeight="1">
      <c r="A42" s="56" t="s">
        <v>38</v>
      </c>
      <c r="B42" s="113" t="s">
        <v>39</v>
      </c>
      <c r="C42" s="113"/>
      <c r="D42" s="113"/>
      <c r="E42" s="93">
        <f>(E38-E40)/E4</f>
        <v>0.47845874792861209</v>
      </c>
      <c r="F42" s="93">
        <f>(F38-F40)/F4</f>
        <v>0.49389637884956111</v>
      </c>
      <c r="G42" s="93">
        <f>(G38-G40)/G4</f>
        <v>0.41784753805813979</v>
      </c>
      <c r="H42" s="84"/>
      <c r="I42" s="84"/>
      <c r="J42" s="84"/>
      <c r="K42" s="84"/>
      <c r="L42" s="84"/>
      <c r="M42" s="84"/>
      <c r="N42" s="84"/>
      <c r="O42" s="84"/>
      <c r="P42" s="84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</row>
    <row r="43" spans="1:231" ht="21" customHeight="1">
      <c r="A43" s="56" t="s">
        <v>1</v>
      </c>
      <c r="B43" s="113" t="s">
        <v>40</v>
      </c>
      <c r="C43" s="113"/>
      <c r="D43" s="113"/>
      <c r="E43" s="93">
        <f>(E35+E21)/E4</f>
        <v>5.4038929384441235E-2</v>
      </c>
      <c r="F43" s="98">
        <f>(F35+F21+F16)/F4</f>
        <v>0.12824127337196209</v>
      </c>
      <c r="G43" s="93">
        <f>(G35+G21+G16)/G4</f>
        <v>0.10554560447343915</v>
      </c>
      <c r="H43" s="84"/>
      <c r="I43" s="84"/>
      <c r="J43" s="84"/>
      <c r="K43" s="84"/>
      <c r="L43" s="84"/>
      <c r="M43" s="84"/>
      <c r="N43" s="84"/>
      <c r="O43" s="84"/>
      <c r="P43" s="84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</row>
    <row r="44" spans="1:231" ht="21" customHeight="1">
      <c r="A44" s="56" t="s">
        <v>41</v>
      </c>
      <c r="B44" s="113" t="s">
        <v>42</v>
      </c>
      <c r="C44" s="113"/>
      <c r="D44" s="113"/>
      <c r="E44" s="93">
        <f>(E35+E21)/E4</f>
        <v>5.4038929384441235E-2</v>
      </c>
      <c r="F44" s="98">
        <f>(F35+F21+F16)/F4</f>
        <v>0.12824127337196209</v>
      </c>
      <c r="G44" s="93">
        <f>(G35-G36+G21+G16)/G4</f>
        <v>6.2526685943367202E-2</v>
      </c>
      <c r="H44" s="84"/>
      <c r="I44" s="84"/>
      <c r="J44" s="84"/>
      <c r="K44" s="84"/>
      <c r="L44" s="84"/>
      <c r="M44" s="84"/>
      <c r="N44" s="84"/>
      <c r="O44" s="84"/>
      <c r="P44" s="84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</row>
    <row r="45" spans="1:231" ht="21" customHeight="1">
      <c r="A45" s="25" t="s">
        <v>2</v>
      </c>
      <c r="B45" s="117" t="s">
        <v>43</v>
      </c>
      <c r="C45" s="118"/>
      <c r="D45" s="119"/>
      <c r="E45" s="93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</row>
    <row r="46" spans="1:231" ht="21" customHeight="1">
      <c r="A46" s="25" t="s">
        <v>3</v>
      </c>
      <c r="B46" s="124" t="s">
        <v>44</v>
      </c>
      <c r="C46" s="122"/>
      <c r="D46" s="123"/>
      <c r="E46" s="93">
        <v>1.9800000000000002E-2</v>
      </c>
      <c r="F46" s="93">
        <v>2.6200000000000001E-2</v>
      </c>
      <c r="G46" s="93">
        <v>1.38E-2</v>
      </c>
      <c r="H46" s="93">
        <f>((E5+E10-E13)/E4+(F5+F10-F13)/F4+(G5+G10-G13)/G4)/3</f>
        <v>3.3112117846130273E-2</v>
      </c>
      <c r="I46" s="93">
        <f>((F5+F10-F13)/F4+(G5+G10-G13)/G4+(H5+H10-H13)/H4)/3</f>
        <v>5.7896764559096058E-2</v>
      </c>
      <c r="J46" s="93">
        <f t="shared" ref="J46:P46" si="10">((G5+G10-G13)/G4+(H5+H10-H13)/H4+(I5+I10-I13)/I4)/3</f>
        <v>6.9761568567373922E-2</v>
      </c>
      <c r="K46" s="93">
        <f t="shared" si="10"/>
        <v>6.6942836257914168E-2</v>
      </c>
      <c r="L46" s="93">
        <f t="shared" si="10"/>
        <v>7.1726362984389683E-2</v>
      </c>
      <c r="M46" s="93">
        <f t="shared" si="10"/>
        <v>8.261214011212846E-2</v>
      </c>
      <c r="N46" s="93">
        <f t="shared" si="10"/>
        <v>9.2002527482600613E-2</v>
      </c>
      <c r="O46" s="93">
        <f t="shared" si="10"/>
        <v>9.5423345265447046E-2</v>
      </c>
      <c r="P46" s="98">
        <f t="shared" si="10"/>
        <v>9.3393267349935027E-2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</row>
    <row r="47" spans="1:231" ht="21" customHeight="1">
      <c r="A47" s="56" t="s">
        <v>4</v>
      </c>
      <c r="B47" s="113" t="s">
        <v>45</v>
      </c>
      <c r="C47" s="113"/>
      <c r="D47" s="113"/>
      <c r="E47" s="93">
        <f>(E35+E21)/E4</f>
        <v>5.4038929384441235E-2</v>
      </c>
      <c r="F47" s="93">
        <f>(F35+F21)/F4</f>
        <v>0.12824127337196209</v>
      </c>
      <c r="G47" s="93">
        <f t="shared" ref="G47:P47" si="11">(G35+G21)/G4</f>
        <v>0.10554560447343915</v>
      </c>
      <c r="H47" s="98">
        <f t="shared" si="11"/>
        <v>7.7303653321775731E-2</v>
      </c>
      <c r="I47" s="93">
        <f t="shared" si="11"/>
        <v>4.836781785236257E-2</v>
      </c>
      <c r="J47" s="93">
        <f t="shared" si="11"/>
        <v>6.050413855649879E-2</v>
      </c>
      <c r="K47" s="93">
        <f t="shared" si="11"/>
        <v>6.1748920099087487E-2</v>
      </c>
      <c r="L47" s="93">
        <f t="shared" si="11"/>
        <v>6.5147425589378527E-2</v>
      </c>
      <c r="M47" s="93">
        <f t="shared" si="11"/>
        <v>7.6567202958916017E-2</v>
      </c>
      <c r="N47" s="93">
        <f t="shared" si="11"/>
        <v>8.8626318703929771E-2</v>
      </c>
      <c r="O47" s="93">
        <f t="shared" si="11"/>
        <v>8.1880773293453391E-2</v>
      </c>
      <c r="P47" s="98">
        <f t="shared" si="11"/>
        <v>9.0419299056260991E-3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</row>
    <row r="48" spans="1:231" ht="21" customHeight="1">
      <c r="A48" s="56" t="s">
        <v>46</v>
      </c>
      <c r="B48" s="113" t="s">
        <v>47</v>
      </c>
      <c r="C48" s="113"/>
      <c r="D48" s="113"/>
      <c r="E48" s="99">
        <v>1.9800000000000002E-2</v>
      </c>
      <c r="F48" s="99" t="s">
        <v>76</v>
      </c>
      <c r="G48" s="99" t="s">
        <v>76</v>
      </c>
      <c r="H48" s="99" t="s">
        <v>76</v>
      </c>
      <c r="I48" s="101" t="s">
        <v>73</v>
      </c>
      <c r="J48" s="101" t="s">
        <v>73</v>
      </c>
      <c r="K48" s="101" t="s">
        <v>73</v>
      </c>
      <c r="L48" s="101" t="s">
        <v>73</v>
      </c>
      <c r="M48" s="101" t="s">
        <v>73</v>
      </c>
      <c r="N48" s="101" t="s">
        <v>73</v>
      </c>
      <c r="O48" s="101" t="s">
        <v>73</v>
      </c>
      <c r="P48" s="101" t="s">
        <v>73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</row>
    <row r="49" spans="1:231" ht="21" customHeight="1">
      <c r="A49" s="56" t="s">
        <v>48</v>
      </c>
      <c r="B49" s="113" t="s">
        <v>49</v>
      </c>
      <c r="C49" s="113"/>
      <c r="D49" s="113"/>
      <c r="E49" s="93">
        <f>(E35+E21)/E4</f>
        <v>5.4038929384441235E-2</v>
      </c>
      <c r="F49" s="93">
        <f>(F35+F21)/F4</f>
        <v>0.12824127337196209</v>
      </c>
      <c r="G49" s="93">
        <f>(G35-G36+G21)/G4</f>
        <v>6.2526685943367202E-2</v>
      </c>
      <c r="H49" s="98">
        <f>(H35-H36+H21)/H4</f>
        <v>2.5779328778784704E-2</v>
      </c>
      <c r="I49" s="93">
        <f t="shared" ref="I49:P49" si="12">(I35+I21)/I4</f>
        <v>4.836781785236257E-2</v>
      </c>
      <c r="J49" s="93">
        <f t="shared" si="12"/>
        <v>6.050413855649879E-2</v>
      </c>
      <c r="K49" s="93">
        <f t="shared" si="12"/>
        <v>6.1748920099087487E-2</v>
      </c>
      <c r="L49" s="93">
        <f t="shared" si="12"/>
        <v>6.5147425589378527E-2</v>
      </c>
      <c r="M49" s="93">
        <f t="shared" si="12"/>
        <v>7.6567202958916017E-2</v>
      </c>
      <c r="N49" s="93">
        <f t="shared" si="12"/>
        <v>8.8626318703929771E-2</v>
      </c>
      <c r="O49" s="93">
        <f t="shared" si="12"/>
        <v>8.1880773293453391E-2</v>
      </c>
      <c r="P49" s="98">
        <f t="shared" si="12"/>
        <v>9.0419299056260991E-3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</row>
    <row r="50" spans="1:231" ht="21" customHeight="1">
      <c r="A50" s="56" t="s">
        <v>50</v>
      </c>
      <c r="B50" s="128" t="s">
        <v>51</v>
      </c>
      <c r="C50" s="128"/>
      <c r="D50" s="128"/>
      <c r="E50" s="85"/>
      <c r="F50" s="85"/>
      <c r="G50" s="85"/>
      <c r="H50" s="101" t="s">
        <v>73</v>
      </c>
      <c r="I50" s="85" t="s">
        <v>73</v>
      </c>
      <c r="J50" s="85" t="s">
        <v>73</v>
      </c>
      <c r="K50" s="85" t="s">
        <v>73</v>
      </c>
      <c r="L50" s="85" t="s">
        <v>73</v>
      </c>
      <c r="M50" s="85" t="s">
        <v>73</v>
      </c>
      <c r="N50" s="85" t="s">
        <v>73</v>
      </c>
      <c r="O50" s="85" t="s">
        <v>73</v>
      </c>
      <c r="P50" s="85" t="s">
        <v>73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</row>
    <row r="51" spans="1:231" ht="21" customHeight="1">
      <c r="A51" s="51" t="s">
        <v>52</v>
      </c>
      <c r="B51" s="114" t="s">
        <v>53</v>
      </c>
      <c r="C51" s="115"/>
      <c r="D51" s="116"/>
      <c r="E51" s="85">
        <f>E52+E53+E54+E55</f>
        <v>37908679.829999998</v>
      </c>
      <c r="F51" s="85">
        <f>F52+F53+F54+F55</f>
        <v>33019980.840000004</v>
      </c>
      <c r="G51" s="85">
        <f t="shared" ref="G51:P51" si="13">G52+G53+G54+G55</f>
        <v>35224591.289999999</v>
      </c>
      <c r="H51" s="85">
        <f t="shared" si="13"/>
        <v>29315398.779999997</v>
      </c>
      <c r="I51" s="85">
        <f t="shared" si="13"/>
        <v>30001380.349999998</v>
      </c>
      <c r="J51" s="85">
        <f t="shared" si="13"/>
        <v>30397767.02</v>
      </c>
      <c r="K51" s="85">
        <f t="shared" si="13"/>
        <v>28135100.800000001</v>
      </c>
      <c r="L51" s="85">
        <f t="shared" si="13"/>
        <v>28763936.609999999</v>
      </c>
      <c r="M51" s="85">
        <f t="shared" si="13"/>
        <v>29417909.969999999</v>
      </c>
      <c r="N51" s="85">
        <f t="shared" si="13"/>
        <v>30353357.720000003</v>
      </c>
      <c r="O51" s="85">
        <f t="shared" si="13"/>
        <v>30912191.66</v>
      </c>
      <c r="P51" s="85">
        <f t="shared" si="13"/>
        <v>31684996.460000001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</row>
    <row r="52" spans="1:231" ht="21" customHeight="1">
      <c r="A52" s="15"/>
      <c r="B52" s="16"/>
      <c r="C52" s="122" t="s">
        <v>54</v>
      </c>
      <c r="D52" s="123"/>
      <c r="E52" s="73">
        <v>26052470.91</v>
      </c>
      <c r="F52" s="73">
        <v>23973553.210000001</v>
      </c>
      <c r="G52" s="73">
        <v>24249917.859999999</v>
      </c>
      <c r="H52" s="73">
        <v>24821568.809999999</v>
      </c>
      <c r="I52" s="73">
        <v>25318171.800000001</v>
      </c>
      <c r="J52" s="73">
        <v>25820445.43</v>
      </c>
      <c r="K52" s="73">
        <v>26371463.34</v>
      </c>
      <c r="L52" s="73">
        <v>26957796.879999999</v>
      </c>
      <c r="M52" s="73">
        <v>27631741.800000001</v>
      </c>
      <c r="N52" s="73">
        <v>28322535.350000001</v>
      </c>
      <c r="O52" s="73">
        <v>29030598.73</v>
      </c>
      <c r="P52" s="73">
        <v>29756363.699999999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</row>
    <row r="53" spans="1:231" ht="21" customHeight="1">
      <c r="A53" s="15"/>
      <c r="B53" s="16"/>
      <c r="C53" s="122" t="s">
        <v>55</v>
      </c>
      <c r="D53" s="123"/>
      <c r="E53" s="73">
        <v>1956211.07</v>
      </c>
      <c r="F53" s="73">
        <f>221250+1287209+10000</f>
        <v>1518459</v>
      </c>
      <c r="G53" s="73">
        <v>1541235.9</v>
      </c>
      <c r="H53" s="73">
        <v>1575143.09</v>
      </c>
      <c r="I53" s="73">
        <v>1764521.67</v>
      </c>
      <c r="J53" s="73">
        <v>1658634.71</v>
      </c>
      <c r="K53" s="73">
        <v>1700100.58</v>
      </c>
      <c r="L53" s="73">
        <v>1742603.09</v>
      </c>
      <c r="M53" s="73">
        <v>1786168.17</v>
      </c>
      <c r="N53" s="73">
        <v>2030822.37</v>
      </c>
      <c r="O53" s="73">
        <v>1881592.93</v>
      </c>
      <c r="P53" s="73">
        <v>1928632.76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</row>
    <row r="54" spans="1:231" ht="21" customHeight="1">
      <c r="A54" s="15"/>
      <c r="B54" s="16"/>
      <c r="C54" s="122" t="s">
        <v>56</v>
      </c>
      <c r="D54" s="129"/>
      <c r="E54" s="95">
        <v>2277526.86</v>
      </c>
      <c r="F54" s="95">
        <v>2254963.7400000002</v>
      </c>
      <c r="G54" s="95">
        <v>3058588.38</v>
      </c>
      <c r="H54" s="95">
        <v>63536.88</v>
      </c>
      <c r="I54" s="95">
        <v>63536.88</v>
      </c>
      <c r="J54" s="95">
        <v>63536.88</v>
      </c>
      <c r="K54" s="95">
        <v>63536.88</v>
      </c>
      <c r="L54" s="95">
        <v>63536.639999999999</v>
      </c>
      <c r="M54" s="95"/>
      <c r="N54" s="95"/>
      <c r="O54" s="95"/>
      <c r="P54" s="95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</row>
    <row r="55" spans="1:231" ht="21" customHeight="1" thickBot="1">
      <c r="A55" s="23"/>
      <c r="B55" s="57"/>
      <c r="C55" s="58" t="s">
        <v>57</v>
      </c>
      <c r="D55" s="59"/>
      <c r="E55" s="92">
        <v>7622470.9900000002</v>
      </c>
      <c r="F55" s="92">
        <v>5273004.8899999997</v>
      </c>
      <c r="G55" s="92">
        <v>6374849.1500000004</v>
      </c>
      <c r="H55" s="92">
        <v>2855150</v>
      </c>
      <c r="I55" s="92">
        <v>2855150</v>
      </c>
      <c r="J55" s="92">
        <v>2855150</v>
      </c>
      <c r="K55" s="92">
        <v>0</v>
      </c>
      <c r="L55" s="92"/>
      <c r="M55" s="92"/>
      <c r="N55" s="92"/>
      <c r="O55" s="92"/>
      <c r="P55" s="9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</row>
    <row r="56" spans="1:231" ht="21" customHeight="1" thickBot="1">
      <c r="A56" s="60" t="s">
        <v>5</v>
      </c>
      <c r="B56" s="127" t="s">
        <v>58</v>
      </c>
      <c r="C56" s="127"/>
      <c r="D56" s="127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</row>
    <row r="57" spans="1:231" ht="21" customHeight="1">
      <c r="A57" s="61">
        <v>17</v>
      </c>
      <c r="B57" s="62" t="s">
        <v>70</v>
      </c>
      <c r="C57" s="63"/>
      <c r="D57" s="64"/>
      <c r="E57" s="87">
        <v>0</v>
      </c>
      <c r="F57" s="87">
        <v>0</v>
      </c>
      <c r="G57" s="87">
        <v>0</v>
      </c>
      <c r="H57" s="87">
        <v>0</v>
      </c>
      <c r="I57" s="87">
        <v>0</v>
      </c>
      <c r="J57" s="87">
        <v>0</v>
      </c>
      <c r="K57" s="87">
        <v>0</v>
      </c>
      <c r="L57" s="87">
        <v>0</v>
      </c>
      <c r="M57" s="87">
        <v>0</v>
      </c>
      <c r="N57" s="87">
        <v>0</v>
      </c>
      <c r="O57" s="87">
        <v>0</v>
      </c>
      <c r="P57" s="87">
        <v>0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</row>
    <row r="58" spans="1:231" ht="21" customHeight="1" thickBot="1">
      <c r="A58" s="65"/>
      <c r="B58" s="66"/>
      <c r="C58" s="125" t="s">
        <v>71</v>
      </c>
      <c r="D58" s="126"/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O58" s="88">
        <v>0</v>
      </c>
      <c r="P58" s="88">
        <v>0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</row>
    <row r="59" spans="1:231">
      <c r="A59" s="67"/>
      <c r="B59" s="68"/>
      <c r="C59" s="68"/>
      <c r="D59" s="69"/>
      <c r="E59" s="6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</row>
    <row r="60" spans="1:231" ht="22.5">
      <c r="A60" s="67"/>
      <c r="B60" s="68"/>
      <c r="C60" s="68"/>
      <c r="D60" s="70" t="s">
        <v>72</v>
      </c>
      <c r="E60" s="70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</row>
    <row r="61" spans="1:231">
      <c r="A61" s="6"/>
      <c r="B61" s="7"/>
      <c r="C61" s="7"/>
      <c r="D61" s="8"/>
      <c r="E61" s="8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</row>
    <row r="62" spans="1:231">
      <c r="A62" s="6"/>
      <c r="B62" s="7"/>
      <c r="C62" s="7"/>
      <c r="D62" s="8"/>
      <c r="E62" s="8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</row>
  </sheetData>
  <mergeCells count="28">
    <mergeCell ref="B41:D41"/>
    <mergeCell ref="B40:D40"/>
    <mergeCell ref="C28:D28"/>
    <mergeCell ref="C35:D35"/>
    <mergeCell ref="C39:D39"/>
    <mergeCell ref="C36:D36"/>
    <mergeCell ref="C53:D53"/>
    <mergeCell ref="C58:D58"/>
    <mergeCell ref="B56:D56"/>
    <mergeCell ref="B50:D50"/>
    <mergeCell ref="C54:D54"/>
    <mergeCell ref="C52:D52"/>
    <mergeCell ref="A2:P2"/>
    <mergeCell ref="A1:D1"/>
    <mergeCell ref="O1:P1"/>
    <mergeCell ref="B49:D49"/>
    <mergeCell ref="B51:D51"/>
    <mergeCell ref="B45:D45"/>
    <mergeCell ref="B47:D47"/>
    <mergeCell ref="B48:D48"/>
    <mergeCell ref="B44:D44"/>
    <mergeCell ref="C5:D5"/>
    <mergeCell ref="C8:D8"/>
    <mergeCell ref="B46:D46"/>
    <mergeCell ref="C6:D6"/>
    <mergeCell ref="C9:D9"/>
    <mergeCell ref="B42:D42"/>
    <mergeCell ref="B43:D43"/>
  </mergeCells>
  <pageMargins left="0.25" right="0.25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Starostwo Powiatowe w Białogardzie</cp:lastModifiedBy>
  <cp:lastPrinted>2012-04-18T11:40:37Z</cp:lastPrinted>
  <dcterms:created xsi:type="dcterms:W3CDTF">2010-10-07T05:45:12Z</dcterms:created>
  <dcterms:modified xsi:type="dcterms:W3CDTF">2012-04-18T11:45:00Z</dcterms:modified>
</cp:coreProperties>
</file>