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3810" windowWidth="19260" windowHeight="8190" tabRatio="766" firstSheet="4" activeTab="17"/>
  </bookViews>
  <sheets>
    <sheet name="tab1" sheetId="33" r:id="rId1"/>
    <sheet name="wykres dochodów" sheetId="27" r:id="rId2"/>
    <sheet name="tab2" sheetId="8" r:id="rId3"/>
    <sheet name="tab3" sheetId="5" r:id="rId4"/>
    <sheet name="wykres wydatków" sheetId="22" r:id="rId5"/>
    <sheet name="Arkusz1" sheetId="50" r:id="rId6"/>
    <sheet name="tab 4" sheetId="40" r:id="rId7"/>
    <sheet name="tab5" sheetId="31" r:id="rId8"/>
    <sheet name="tab 6" sheetId="30" r:id="rId9"/>
    <sheet name="tab 7" sheetId="47" r:id="rId10"/>
    <sheet name="tab 8" sheetId="36" r:id="rId11"/>
    <sheet name="tab9" sheetId="42" r:id="rId12"/>
    <sheet name="tab10" sheetId="1" r:id="rId13"/>
    <sheet name="tab11" sheetId="48" r:id="rId14"/>
    <sheet name="tab12" sheetId="43" r:id="rId15"/>
    <sheet name="tab 13" sheetId="49" r:id="rId16"/>
    <sheet name="tab 15" sheetId="44" r:id="rId17"/>
    <sheet name="tabela 16" sheetId="51" r:id="rId18"/>
  </sheets>
  <externalReferences>
    <externalReference r:id="rId19"/>
  </externalReferences>
  <definedNames>
    <definedName name="_xlnm.Print_Area" localSheetId="1">'wykres dochodów'!$A$1:$J$86</definedName>
  </definedNames>
  <calcPr calcId="125725"/>
</workbook>
</file>

<file path=xl/calcChain.xml><?xml version="1.0" encoding="utf-8"?>
<calcChain xmlns="http://schemas.openxmlformats.org/spreadsheetml/2006/main">
  <c r="L12" i="51"/>
  <c r="L11"/>
  <c r="L10"/>
  <c r="L9"/>
  <c r="L8"/>
  <c r="L7"/>
  <c r="F61" i="5"/>
  <c r="F563" i="49"/>
  <c r="H652"/>
  <c r="G651"/>
  <c r="F651"/>
  <c r="H650"/>
  <c r="H649"/>
  <c r="H648"/>
  <c r="G647"/>
  <c r="F647"/>
  <c r="H647" s="1"/>
  <c r="H646"/>
  <c r="H645"/>
  <c r="H644"/>
  <c r="H643"/>
  <c r="H642"/>
  <c r="H641"/>
  <c r="H640"/>
  <c r="H639"/>
  <c r="G637"/>
  <c r="F637"/>
  <c r="F636" s="1"/>
  <c r="H635"/>
  <c r="G634"/>
  <c r="F634"/>
  <c r="H634" s="1"/>
  <c r="H633"/>
  <c r="G632"/>
  <c r="G627" s="1"/>
  <c r="H627" s="1"/>
  <c r="F632"/>
  <c r="H631"/>
  <c r="H630"/>
  <c r="H629"/>
  <c r="G628"/>
  <c r="F628"/>
  <c r="F627" s="1"/>
  <c r="G624"/>
  <c r="F624"/>
  <c r="H623"/>
  <c r="H622"/>
  <c r="H621"/>
  <c r="G619"/>
  <c r="F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G599"/>
  <c r="H599" s="1"/>
  <c r="F599"/>
  <c r="H598"/>
  <c r="G597"/>
  <c r="F597"/>
  <c r="H596"/>
  <c r="G595"/>
  <c r="H595" s="1"/>
  <c r="F595"/>
  <c r="H594"/>
  <c r="H593"/>
  <c r="H592"/>
  <c r="H591"/>
  <c r="H590"/>
  <c r="H589"/>
  <c r="H588"/>
  <c r="H587"/>
  <c r="H586"/>
  <c r="H585"/>
  <c r="H584"/>
  <c r="H583"/>
  <c r="H582"/>
  <c r="H581"/>
  <c r="H580"/>
  <c r="G579"/>
  <c r="F579"/>
  <c r="H578"/>
  <c r="H577"/>
  <c r="H576"/>
  <c r="H575"/>
  <c r="H574"/>
  <c r="H573"/>
  <c r="H572"/>
  <c r="H571"/>
  <c r="H570"/>
  <c r="H569"/>
  <c r="H568"/>
  <c r="H567"/>
  <c r="H566"/>
  <c r="H565"/>
  <c r="H564"/>
  <c r="G563"/>
  <c r="H563" s="1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G543"/>
  <c r="H543" s="1"/>
  <c r="F543"/>
  <c r="F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G512"/>
  <c r="F512"/>
  <c r="H511"/>
  <c r="H510"/>
  <c r="H509"/>
  <c r="H508"/>
  <c r="H507"/>
  <c r="H506"/>
  <c r="H505"/>
  <c r="H504"/>
  <c r="H503"/>
  <c r="H502"/>
  <c r="H501"/>
  <c r="H500"/>
  <c r="H499"/>
  <c r="H498"/>
  <c r="H497"/>
  <c r="H496"/>
  <c r="G495"/>
  <c r="H495" s="1"/>
  <c r="F495"/>
  <c r="H494"/>
  <c r="H493"/>
  <c r="H492"/>
  <c r="H491"/>
  <c r="H490"/>
  <c r="H489"/>
  <c r="H488"/>
  <c r="H487"/>
  <c r="G486"/>
  <c r="G483" s="1"/>
  <c r="F486"/>
  <c r="H485"/>
  <c r="G484"/>
  <c r="F484"/>
  <c r="F483" s="1"/>
  <c r="H482"/>
  <c r="H481"/>
  <c r="H480"/>
  <c r="G479"/>
  <c r="F479"/>
  <c r="H478"/>
  <c r="H477"/>
  <c r="H476"/>
  <c r="G475"/>
  <c r="H475" s="1"/>
  <c r="F475"/>
  <c r="H474"/>
  <c r="H473"/>
  <c r="H472"/>
  <c r="H471"/>
  <c r="H470"/>
  <c r="H469"/>
  <c r="H468"/>
  <c r="H467"/>
  <c r="H466"/>
  <c r="H465"/>
  <c r="H464"/>
  <c r="H463"/>
  <c r="H462"/>
  <c r="H461"/>
  <c r="H460"/>
  <c r="H459"/>
  <c r="G458"/>
  <c r="F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G437"/>
  <c r="H437" s="1"/>
  <c r="F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G416"/>
  <c r="F416"/>
  <c r="H415"/>
  <c r="H414"/>
  <c r="H413"/>
  <c r="H412"/>
  <c r="H411"/>
  <c r="H410"/>
  <c r="G409"/>
  <c r="H409" s="1"/>
  <c r="F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G388"/>
  <c r="F388"/>
  <c r="H387"/>
  <c r="H386"/>
  <c r="G385"/>
  <c r="H385" s="1"/>
  <c r="F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59"/>
  <c r="G358"/>
  <c r="F358"/>
  <c r="F357" s="1"/>
  <c r="H356"/>
  <c r="G355"/>
  <c r="F355"/>
  <c r="H355" s="1"/>
  <c r="H354"/>
  <c r="H353"/>
  <c r="G352"/>
  <c r="F352"/>
  <c r="H351"/>
  <c r="G350"/>
  <c r="H350" s="1"/>
  <c r="F350"/>
  <c r="H349"/>
  <c r="H348"/>
  <c r="G347"/>
  <c r="G340" s="1"/>
  <c r="F347"/>
  <c r="H346"/>
  <c r="H345"/>
  <c r="H344"/>
  <c r="H343"/>
  <c r="H342"/>
  <c r="G341"/>
  <c r="F341"/>
  <c r="F340" s="1"/>
  <c r="H339"/>
  <c r="H338"/>
  <c r="H337"/>
  <c r="G336"/>
  <c r="F336"/>
  <c r="H335"/>
  <c r="H334"/>
  <c r="H333"/>
  <c r="H332"/>
  <c r="H331"/>
  <c r="H330"/>
  <c r="H329"/>
  <c r="H328"/>
  <c r="H327"/>
  <c r="G326"/>
  <c r="H326" s="1"/>
  <c r="F326"/>
  <c r="H325"/>
  <c r="H324"/>
  <c r="H323"/>
  <c r="H322"/>
  <c r="H321"/>
  <c r="H320"/>
  <c r="G319"/>
  <c r="F319"/>
  <c r="H318"/>
  <c r="H317"/>
  <c r="H316"/>
  <c r="H315"/>
  <c r="H314"/>
  <c r="H313"/>
  <c r="G312"/>
  <c r="H312" s="1"/>
  <c r="F312"/>
  <c r="H311"/>
  <c r="H310"/>
  <c r="H309"/>
  <c r="H308"/>
  <c r="H307"/>
  <c r="H306"/>
  <c r="H305"/>
  <c r="H304"/>
  <c r="H303"/>
  <c r="H302"/>
  <c r="H301"/>
  <c r="H300"/>
  <c r="H299"/>
  <c r="H298"/>
  <c r="G297"/>
  <c r="F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G266"/>
  <c r="H266" s="1"/>
  <c r="F266"/>
  <c r="H265"/>
  <c r="G264"/>
  <c r="F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G237"/>
  <c r="F237"/>
  <c r="H237" s="1"/>
  <c r="H236"/>
  <c r="H235"/>
  <c r="H234"/>
  <c r="H233"/>
  <c r="H232"/>
  <c r="H231"/>
  <c r="H230"/>
  <c r="H229"/>
  <c r="H228"/>
  <c r="H227"/>
  <c r="H226"/>
  <c r="H225"/>
  <c r="H224"/>
  <c r="G223"/>
  <c r="F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G202"/>
  <c r="H202" s="1"/>
  <c r="F202"/>
  <c r="F201"/>
  <c r="H200"/>
  <c r="G199"/>
  <c r="F199"/>
  <c r="F198" s="1"/>
  <c r="G198"/>
  <c r="H198" s="1"/>
  <c r="H197"/>
  <c r="H196"/>
  <c r="G195"/>
  <c r="F195"/>
  <c r="F194" s="1"/>
  <c r="G194"/>
  <c r="H193"/>
  <c r="H192"/>
  <c r="H191"/>
  <c r="H190"/>
  <c r="G189"/>
  <c r="F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G160"/>
  <c r="H160" s="1"/>
  <c r="F160"/>
  <c r="H159"/>
  <c r="G158"/>
  <c r="F158"/>
  <c r="H157"/>
  <c r="G156"/>
  <c r="H156" s="1"/>
  <c r="F156"/>
  <c r="F155"/>
  <c r="H154"/>
  <c r="H153"/>
  <c r="H152"/>
  <c r="H151"/>
  <c r="G150"/>
  <c r="F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G131"/>
  <c r="F131"/>
  <c r="H131" s="1"/>
  <c r="H130"/>
  <c r="H129"/>
  <c r="H128"/>
  <c r="H127"/>
  <c r="H126"/>
  <c r="H125"/>
  <c r="G124"/>
  <c r="F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G95"/>
  <c r="F95"/>
  <c r="H95" s="1"/>
  <c r="H94"/>
  <c r="H93"/>
  <c r="H92"/>
  <c r="G91"/>
  <c r="G86" s="1"/>
  <c r="F91"/>
  <c r="H90"/>
  <c r="H89"/>
  <c r="H88"/>
  <c r="G87"/>
  <c r="F87"/>
  <c r="F86" s="1"/>
  <c r="H85"/>
  <c r="H84"/>
  <c r="H83"/>
  <c r="H82"/>
  <c r="H81"/>
  <c r="H80"/>
  <c r="H79"/>
  <c r="H78"/>
  <c r="H77"/>
  <c r="H76"/>
  <c r="H75"/>
  <c r="H74"/>
  <c r="H73"/>
  <c r="H72"/>
  <c r="H71"/>
  <c r="H70"/>
  <c r="G69"/>
  <c r="F69"/>
  <c r="H68"/>
  <c r="H67"/>
  <c r="G66"/>
  <c r="H66" s="1"/>
  <c r="F66"/>
  <c r="H65"/>
  <c r="G64"/>
  <c r="F64"/>
  <c r="F63" s="1"/>
  <c r="H62"/>
  <c r="H61"/>
  <c r="H60"/>
  <c r="H59"/>
  <c r="H58"/>
  <c r="H57"/>
  <c r="H56"/>
  <c r="H55"/>
  <c r="H54"/>
  <c r="H53"/>
  <c r="H52"/>
  <c r="G51"/>
  <c r="F51"/>
  <c r="F50" s="1"/>
  <c r="G50"/>
  <c r="H49"/>
  <c r="H48"/>
  <c r="G47"/>
  <c r="G20" s="1"/>
  <c r="F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G21"/>
  <c r="F21"/>
  <c r="F20" s="1"/>
  <c r="H19"/>
  <c r="H18"/>
  <c r="H17"/>
  <c r="G16"/>
  <c r="F16"/>
  <c r="H15"/>
  <c r="G14"/>
  <c r="H14" s="1"/>
  <c r="F14"/>
  <c r="F13"/>
  <c r="H12"/>
  <c r="G11"/>
  <c r="G8" s="1"/>
  <c r="F11"/>
  <c r="H10"/>
  <c r="G9"/>
  <c r="F9"/>
  <c r="F8" s="1"/>
  <c r="K26" i="44"/>
  <c r="J26"/>
  <c r="I26"/>
  <c r="H26"/>
  <c r="G26"/>
  <c r="F26"/>
  <c r="E26"/>
  <c r="D26"/>
  <c r="C26"/>
  <c r="B26"/>
  <c r="U14"/>
  <c r="L22"/>
  <c r="X22" s="1"/>
  <c r="O75" i="5"/>
  <c r="N75"/>
  <c r="O70"/>
  <c r="N70"/>
  <c r="O60"/>
  <c r="N60"/>
  <c r="O54"/>
  <c r="N54"/>
  <c r="N43"/>
  <c r="O48"/>
  <c r="O46"/>
  <c r="N46"/>
  <c r="O45"/>
  <c r="O43" s="1"/>
  <c r="O92" s="1"/>
  <c r="B6" i="50" s="1"/>
  <c r="N44" i="5"/>
  <c r="N27"/>
  <c r="N30"/>
  <c r="N18"/>
  <c r="N92" s="1"/>
  <c r="B5" i="50" s="1"/>
  <c r="N19" i="5"/>
  <c r="G78"/>
  <c r="G77"/>
  <c r="K32"/>
  <c r="G32"/>
  <c r="F19" i="43"/>
  <c r="E19" s="1"/>
  <c r="I19"/>
  <c r="G12" i="48"/>
  <c r="M11"/>
  <c r="M14" s="1"/>
  <c r="L11"/>
  <c r="L14" s="1"/>
  <c r="K11"/>
  <c r="K14" s="1"/>
  <c r="J11"/>
  <c r="J14" s="1"/>
  <c r="I11"/>
  <c r="I14" s="1"/>
  <c r="G11"/>
  <c r="G14" s="1"/>
  <c r="E12"/>
  <c r="F12" s="1"/>
  <c r="D12"/>
  <c r="D11" s="1"/>
  <c r="D14" s="1"/>
  <c r="N13"/>
  <c r="F13"/>
  <c r="H13" s="1"/>
  <c r="N12"/>
  <c r="M29" i="1"/>
  <c r="L29"/>
  <c r="K29"/>
  <c r="J29"/>
  <c r="I29"/>
  <c r="E29"/>
  <c r="D29"/>
  <c r="G30"/>
  <c r="G29" s="1"/>
  <c r="M22"/>
  <c r="L22"/>
  <c r="K22"/>
  <c r="J22"/>
  <c r="I22"/>
  <c r="E22"/>
  <c r="D22"/>
  <c r="G28"/>
  <c r="G27"/>
  <c r="G23"/>
  <c r="G22" s="1"/>
  <c r="G21"/>
  <c r="G18"/>
  <c r="G16" i="47"/>
  <c r="F16"/>
  <c r="H16" s="1"/>
  <c r="H15"/>
  <c r="H14"/>
  <c r="H13"/>
  <c r="H12"/>
  <c r="H11"/>
  <c r="F22" i="30"/>
  <c r="G20"/>
  <c r="H20" s="1"/>
  <c r="G19"/>
  <c r="G18"/>
  <c r="G17"/>
  <c r="H21"/>
  <c r="H19"/>
  <c r="H18"/>
  <c r="H17"/>
  <c r="H16"/>
  <c r="H15"/>
  <c r="H14"/>
  <c r="H13"/>
  <c r="H12"/>
  <c r="H11"/>
  <c r="H10"/>
  <c r="H9"/>
  <c r="H12" i="48" l="1"/>
  <c r="H11" s="1"/>
  <c r="H14" s="1"/>
  <c r="F11"/>
  <c r="F14" s="1"/>
  <c r="F653" i="49"/>
  <c r="E11" i="48"/>
  <c r="E14" s="1"/>
  <c r="G22" i="30"/>
  <c r="H22" s="1"/>
  <c r="H11" i="49"/>
  <c r="H16"/>
  <c r="H47"/>
  <c r="H64"/>
  <c r="H69"/>
  <c r="H91"/>
  <c r="H124"/>
  <c r="H150"/>
  <c r="H158"/>
  <c r="H189"/>
  <c r="H223"/>
  <c r="H264"/>
  <c r="H297"/>
  <c r="H319"/>
  <c r="H336"/>
  <c r="H347"/>
  <c r="H352"/>
  <c r="H358"/>
  <c r="H388"/>
  <c r="H416"/>
  <c r="H458"/>
  <c r="H479"/>
  <c r="H486"/>
  <c r="H512"/>
  <c r="H579"/>
  <c r="H597"/>
  <c r="H619"/>
  <c r="H632"/>
  <c r="H637"/>
  <c r="H651"/>
  <c r="H20"/>
  <c r="H50"/>
  <c r="H86"/>
  <c r="H194"/>
  <c r="H340"/>
  <c r="H483"/>
  <c r="H9"/>
  <c r="H21"/>
  <c r="H51"/>
  <c r="H87"/>
  <c r="H195"/>
  <c r="H199"/>
  <c r="H341"/>
  <c r="H484"/>
  <c r="H628"/>
  <c r="H8"/>
  <c r="G13"/>
  <c r="H13" s="1"/>
  <c r="G63"/>
  <c r="H63" s="1"/>
  <c r="G155"/>
  <c r="H155" s="1"/>
  <c r="G201"/>
  <c r="H201" s="1"/>
  <c r="G357"/>
  <c r="H357" s="1"/>
  <c r="G542"/>
  <c r="H542" s="1"/>
  <c r="G636"/>
  <c r="H636" s="1"/>
  <c r="N11" i="48"/>
  <c r="N14"/>
  <c r="H21" i="31"/>
  <c r="H13"/>
  <c r="G653" i="49" l="1"/>
  <c r="H653" s="1"/>
  <c r="E79" i="22"/>
  <c r="D79"/>
  <c r="G190" i="33"/>
  <c r="G189"/>
  <c r="G187" s="1"/>
  <c r="G178" s="1"/>
  <c r="G216" s="1"/>
  <c r="I110"/>
  <c r="I34"/>
  <c r="I23"/>
  <c r="I29"/>
  <c r="L54" i="5"/>
  <c r="K54"/>
  <c r="J54"/>
  <c r="I54"/>
  <c r="E54"/>
  <c r="D54"/>
  <c r="M75"/>
  <c r="L75"/>
  <c r="K75"/>
  <c r="J75"/>
  <c r="E75"/>
  <c r="D75"/>
  <c r="M70"/>
  <c r="L70"/>
  <c r="J70"/>
  <c r="I70"/>
  <c r="E70"/>
  <c r="D70"/>
  <c r="M34"/>
  <c r="L34"/>
  <c r="K34"/>
  <c r="J34"/>
  <c r="I34"/>
  <c r="E34"/>
  <c r="D34"/>
  <c r="L18"/>
  <c r="K18"/>
  <c r="J18"/>
  <c r="I18"/>
  <c r="E18"/>
  <c r="D18"/>
  <c r="G89"/>
  <c r="G81"/>
  <c r="F76"/>
  <c r="G76"/>
  <c r="G75" s="1"/>
  <c r="G74"/>
  <c r="K74"/>
  <c r="K70" s="1"/>
  <c r="G73"/>
  <c r="G72"/>
  <c r="G70" s="1"/>
  <c r="G67"/>
  <c r="G66"/>
  <c r="G65"/>
  <c r="G64"/>
  <c r="G63"/>
  <c r="G61"/>
  <c r="I61"/>
  <c r="J61"/>
  <c r="G59"/>
  <c r="G54" s="1"/>
  <c r="H56"/>
  <c r="P56"/>
  <c r="M55"/>
  <c r="M54" s="1"/>
  <c r="G52"/>
  <c r="G50"/>
  <c r="G49"/>
  <c r="G48"/>
  <c r="J48"/>
  <c r="M48"/>
  <c r="G46"/>
  <c r="M46"/>
  <c r="M45"/>
  <c r="G45"/>
  <c r="G44"/>
  <c r="F44"/>
  <c r="D41"/>
  <c r="G37"/>
  <c r="G34" s="1"/>
  <c r="G31"/>
  <c r="M30"/>
  <c r="G30"/>
  <c r="G26"/>
  <c r="G19"/>
  <c r="G18" s="1"/>
  <c r="M19"/>
  <c r="M18" s="1"/>
  <c r="H211" i="33"/>
  <c r="J185"/>
  <c r="J184"/>
  <c r="J182"/>
  <c r="J177"/>
  <c r="J172"/>
  <c r="H176"/>
  <c r="J164"/>
  <c r="J167"/>
  <c r="J158"/>
  <c r="J156"/>
  <c r="J119"/>
  <c r="J95"/>
  <c r="H154"/>
  <c r="F154"/>
  <c r="E154"/>
  <c r="H214"/>
  <c r="F214"/>
  <c r="E214"/>
  <c r="E211"/>
  <c r="F211"/>
  <c r="E209"/>
  <c r="F209"/>
  <c r="F208" s="1"/>
  <c r="E176"/>
  <c r="F176"/>
  <c r="J176" s="1"/>
  <c r="E174"/>
  <c r="F174"/>
  <c r="H165"/>
  <c r="F165"/>
  <c r="E165"/>
  <c r="H142"/>
  <c r="H138"/>
  <c r="J143"/>
  <c r="J139"/>
  <c r="J137"/>
  <c r="E142"/>
  <c r="F142"/>
  <c r="E138"/>
  <c r="F138"/>
  <c r="E136"/>
  <c r="F136"/>
  <c r="H136"/>
  <c r="H111"/>
  <c r="F111"/>
  <c r="E111"/>
  <c r="H108"/>
  <c r="I108" s="1"/>
  <c r="I102" s="1"/>
  <c r="F108"/>
  <c r="E108"/>
  <c r="J109"/>
  <c r="H103"/>
  <c r="F103"/>
  <c r="E103"/>
  <c r="J107"/>
  <c r="H91"/>
  <c r="E94"/>
  <c r="F94"/>
  <c r="J94" s="1"/>
  <c r="J76"/>
  <c r="J75"/>
  <c r="H79"/>
  <c r="F79"/>
  <c r="E79"/>
  <c r="F70"/>
  <c r="E70"/>
  <c r="J62"/>
  <c r="J51"/>
  <c r="J50"/>
  <c r="J49"/>
  <c r="J48"/>
  <c r="F47"/>
  <c r="E47"/>
  <c r="J41"/>
  <c r="J40"/>
  <c r="J34"/>
  <c r="J32"/>
  <c r="J31"/>
  <c r="J30"/>
  <c r="J29"/>
  <c r="J28"/>
  <c r="J27"/>
  <c r="J26"/>
  <c r="J25"/>
  <c r="J24"/>
  <c r="H33"/>
  <c r="I33" s="1"/>
  <c r="E33"/>
  <c r="H23"/>
  <c r="F23"/>
  <c r="E23"/>
  <c r="J15"/>
  <c r="H14"/>
  <c r="H11" s="1"/>
  <c r="E14"/>
  <c r="F14"/>
  <c r="H144" l="1"/>
  <c r="I22"/>
  <c r="I216" s="1"/>
  <c r="H135"/>
  <c r="J136"/>
  <c r="J138"/>
  <c r="J142"/>
  <c r="J14"/>
  <c r="H18" i="43" l="1"/>
  <c r="U26" i="44" l="1"/>
  <c r="T26"/>
  <c r="S26"/>
  <c r="R26"/>
  <c r="Q26"/>
  <c r="P26"/>
  <c r="O26"/>
  <c r="H27"/>
  <c r="L25"/>
  <c r="X25" s="1"/>
  <c r="W24"/>
  <c r="L24"/>
  <c r="L23"/>
  <c r="X23" s="1"/>
  <c r="W21"/>
  <c r="L21"/>
  <c r="W20"/>
  <c r="L20"/>
  <c r="W19"/>
  <c r="L19"/>
  <c r="L18"/>
  <c r="X18" s="1"/>
  <c r="W17"/>
  <c r="W16"/>
  <c r="L16"/>
  <c r="X16" s="1"/>
  <c r="W15"/>
  <c r="L15"/>
  <c r="X15" s="1"/>
  <c r="V14"/>
  <c r="V27" s="1"/>
  <c r="U27"/>
  <c r="T14"/>
  <c r="S14"/>
  <c r="S27" s="1"/>
  <c r="R14"/>
  <c r="R27" s="1"/>
  <c r="Q14"/>
  <c r="Q27" s="1"/>
  <c r="P14"/>
  <c r="P27" s="1"/>
  <c r="O14"/>
  <c r="O27" s="1"/>
  <c r="K14"/>
  <c r="K27" s="1"/>
  <c r="J14"/>
  <c r="J27" s="1"/>
  <c r="I14"/>
  <c r="I27" s="1"/>
  <c r="G14"/>
  <c r="G27" s="1"/>
  <c r="F14"/>
  <c r="E14"/>
  <c r="E27" s="1"/>
  <c r="B14"/>
  <c r="B27" s="1"/>
  <c r="W13"/>
  <c r="D14"/>
  <c r="C14"/>
  <c r="C27" s="1"/>
  <c r="W12"/>
  <c r="L12"/>
  <c r="W11"/>
  <c r="L11"/>
  <c r="W10"/>
  <c r="L10"/>
  <c r="W9"/>
  <c r="L9"/>
  <c r="W8"/>
  <c r="L8"/>
  <c r="W7"/>
  <c r="L7"/>
  <c r="W6"/>
  <c r="L6"/>
  <c r="W5"/>
  <c r="L5"/>
  <c r="K21" i="43"/>
  <c r="E20"/>
  <c r="I18"/>
  <c r="I21" s="1"/>
  <c r="G18"/>
  <c r="G21" s="1"/>
  <c r="E17"/>
  <c r="X19" i="44" l="1"/>
  <c r="F27"/>
  <c r="X24"/>
  <c r="T27"/>
  <c r="W14"/>
  <c r="W26"/>
  <c r="X7"/>
  <c r="X9"/>
  <c r="X11"/>
  <c r="X20"/>
  <c r="X6"/>
  <c r="X8"/>
  <c r="X10"/>
  <c r="X12"/>
  <c r="D27"/>
  <c r="X21"/>
  <c r="L17"/>
  <c r="X17" s="1"/>
  <c r="X5"/>
  <c r="L13"/>
  <c r="X13" s="1"/>
  <c r="D16" i="43"/>
  <c r="D18"/>
  <c r="F17"/>
  <c r="E16"/>
  <c r="F20"/>
  <c r="J20"/>
  <c r="J18" s="1"/>
  <c r="J21" s="1"/>
  <c r="E8" i="40"/>
  <c r="D8"/>
  <c r="E17"/>
  <c r="D17"/>
  <c r="L11" i="1"/>
  <c r="L13"/>
  <c r="L15"/>
  <c r="L19"/>
  <c r="L24"/>
  <c r="L26"/>
  <c r="I11"/>
  <c r="I13"/>
  <c r="I15"/>
  <c r="I19"/>
  <c r="I24"/>
  <c r="I26"/>
  <c r="F23"/>
  <c r="F22" s="1"/>
  <c r="F17"/>
  <c r="H17" s="1"/>
  <c r="F16"/>
  <c r="H16" s="1"/>
  <c r="G11"/>
  <c r="H11" i="42"/>
  <c r="G11"/>
  <c r="I9"/>
  <c r="F81" i="5"/>
  <c r="F89"/>
  <c r="H89" s="1"/>
  <c r="F69"/>
  <c r="H69" s="1"/>
  <c r="F53"/>
  <c r="F37"/>
  <c r="F34" s="1"/>
  <c r="F35"/>
  <c r="F23" i="8"/>
  <c r="E23"/>
  <c r="H70" i="33"/>
  <c r="H213"/>
  <c r="F213"/>
  <c r="H201"/>
  <c r="F201"/>
  <c r="E201"/>
  <c r="H192"/>
  <c r="F192"/>
  <c r="E192"/>
  <c r="J150"/>
  <c r="J149"/>
  <c r="J148"/>
  <c r="J134"/>
  <c r="H133"/>
  <c r="E133"/>
  <c r="F133"/>
  <c r="F66"/>
  <c r="E66"/>
  <c r="J65"/>
  <c r="H61"/>
  <c r="F61"/>
  <c r="E61"/>
  <c r="H53"/>
  <c r="F53"/>
  <c r="E53"/>
  <c r="H22"/>
  <c r="J21"/>
  <c r="F20"/>
  <c r="E20"/>
  <c r="H10" i="36"/>
  <c r="H9"/>
  <c r="G13"/>
  <c r="I10" i="42"/>
  <c r="F12" i="36"/>
  <c r="F13" s="1"/>
  <c r="G22" i="31"/>
  <c r="F22"/>
  <c r="H20"/>
  <c r="H19"/>
  <c r="H18"/>
  <c r="H17"/>
  <c r="H16"/>
  <c r="H15"/>
  <c r="H14"/>
  <c r="H12"/>
  <c r="H11"/>
  <c r="I11" i="42" l="1"/>
  <c r="I31" i="1"/>
  <c r="L31"/>
  <c r="X26" i="44"/>
  <c r="W27"/>
  <c r="H22" i="31"/>
  <c r="J20" i="33"/>
  <c r="H58"/>
  <c r="J133"/>
  <c r="L26" i="44"/>
  <c r="D21" i="43"/>
  <c r="L14" i="44"/>
  <c r="E18" i="43"/>
  <c r="F18"/>
  <c r="H17"/>
  <c r="H16" s="1"/>
  <c r="H21" s="1"/>
  <c r="F16"/>
  <c r="F21" s="1"/>
  <c r="E21"/>
  <c r="H12" i="36"/>
  <c r="H13"/>
  <c r="H11"/>
  <c r="N30" i="1"/>
  <c r="N28"/>
  <c r="N27"/>
  <c r="N25"/>
  <c r="N23"/>
  <c r="N21"/>
  <c r="N20"/>
  <c r="N18"/>
  <c r="N17"/>
  <c r="N16"/>
  <c r="N14"/>
  <c r="N12"/>
  <c r="M26"/>
  <c r="K26"/>
  <c r="J26"/>
  <c r="E26"/>
  <c r="M24"/>
  <c r="K24"/>
  <c r="J24"/>
  <c r="G24"/>
  <c r="E24"/>
  <c r="M19"/>
  <c r="K19"/>
  <c r="J19"/>
  <c r="E19"/>
  <c r="M15"/>
  <c r="K15"/>
  <c r="J15"/>
  <c r="E15"/>
  <c r="D15"/>
  <c r="M13"/>
  <c r="K13"/>
  <c r="J13"/>
  <c r="G13"/>
  <c r="G31" s="1"/>
  <c r="E13"/>
  <c r="M11"/>
  <c r="M31" s="1"/>
  <c r="K11"/>
  <c r="J11"/>
  <c r="J31" s="1"/>
  <c r="E11"/>
  <c r="F30"/>
  <c r="F29" s="1"/>
  <c r="F28"/>
  <c r="G26"/>
  <c r="F27"/>
  <c r="H27" s="1"/>
  <c r="F25"/>
  <c r="H25" s="1"/>
  <c r="H24" s="1"/>
  <c r="H23"/>
  <c r="H22" s="1"/>
  <c r="F21"/>
  <c r="F20"/>
  <c r="G20" s="1"/>
  <c r="G19" s="1"/>
  <c r="G15"/>
  <c r="F18"/>
  <c r="F12"/>
  <c r="G34" i="8"/>
  <c r="G33" s="1"/>
  <c r="G55" s="1"/>
  <c r="H51"/>
  <c r="E50"/>
  <c r="F50"/>
  <c r="F34"/>
  <c r="F33" s="1"/>
  <c r="E34"/>
  <c r="E33" s="1"/>
  <c r="E29"/>
  <c r="F29"/>
  <c r="P91" i="5"/>
  <c r="P90"/>
  <c r="P89"/>
  <c r="P87"/>
  <c r="P86"/>
  <c r="P85"/>
  <c r="P82"/>
  <c r="P81"/>
  <c r="P80"/>
  <c r="P79"/>
  <c r="P78"/>
  <c r="P77"/>
  <c r="P76"/>
  <c r="P74"/>
  <c r="P73"/>
  <c r="P72"/>
  <c r="P71"/>
  <c r="P69"/>
  <c r="P68"/>
  <c r="P67"/>
  <c r="P66"/>
  <c r="P65"/>
  <c r="P64"/>
  <c r="P63"/>
  <c r="P62"/>
  <c r="P61"/>
  <c r="P59"/>
  <c r="P58"/>
  <c r="P55"/>
  <c r="P53"/>
  <c r="P52"/>
  <c r="P51"/>
  <c r="P50"/>
  <c r="P49"/>
  <c r="P48"/>
  <c r="P47"/>
  <c r="P46"/>
  <c r="P45"/>
  <c r="P44"/>
  <c r="P40"/>
  <c r="P38"/>
  <c r="P37"/>
  <c r="P36"/>
  <c r="P34"/>
  <c r="P33"/>
  <c r="P32"/>
  <c r="P31"/>
  <c r="P30"/>
  <c r="P29"/>
  <c r="P28"/>
  <c r="P26"/>
  <c r="P25"/>
  <c r="P24"/>
  <c r="P22"/>
  <c r="P20"/>
  <c r="P19"/>
  <c r="P17"/>
  <c r="P16"/>
  <c r="P14"/>
  <c r="P13"/>
  <c r="M27"/>
  <c r="L27"/>
  <c r="K27"/>
  <c r="J27"/>
  <c r="I27"/>
  <c r="E27"/>
  <c r="L88"/>
  <c r="K88"/>
  <c r="J88"/>
  <c r="G88"/>
  <c r="E88"/>
  <c r="M84"/>
  <c r="L84"/>
  <c r="K84"/>
  <c r="J84"/>
  <c r="G84"/>
  <c r="E84"/>
  <c r="F82"/>
  <c r="H82" s="1"/>
  <c r="F78"/>
  <c r="H78" s="1"/>
  <c r="F77"/>
  <c r="M60"/>
  <c r="L60"/>
  <c r="K60"/>
  <c r="E60"/>
  <c r="D60"/>
  <c r="F68"/>
  <c r="H68" s="1"/>
  <c r="F65"/>
  <c r="H65" s="1"/>
  <c r="F62"/>
  <c r="J60"/>
  <c r="I60"/>
  <c r="L43"/>
  <c r="K43"/>
  <c r="I43"/>
  <c r="E43"/>
  <c r="F51"/>
  <c r="H51" s="1"/>
  <c r="J43"/>
  <c r="F48"/>
  <c r="H48" s="1"/>
  <c r="M43"/>
  <c r="H38"/>
  <c r="M23"/>
  <c r="L23"/>
  <c r="K23"/>
  <c r="J23"/>
  <c r="I23"/>
  <c r="E23"/>
  <c r="D23"/>
  <c r="L21"/>
  <c r="K21"/>
  <c r="J21"/>
  <c r="I21"/>
  <c r="G21"/>
  <c r="E21"/>
  <c r="D21"/>
  <c r="M15"/>
  <c r="L15"/>
  <c r="K15"/>
  <c r="I15"/>
  <c r="G15"/>
  <c r="E15"/>
  <c r="D15"/>
  <c r="M12"/>
  <c r="L12"/>
  <c r="K12"/>
  <c r="J12"/>
  <c r="I12"/>
  <c r="G12"/>
  <c r="E12"/>
  <c r="D12"/>
  <c r="F28"/>
  <c r="G28" s="1"/>
  <c r="G27" s="1"/>
  <c r="G23"/>
  <c r="M21"/>
  <c r="F19"/>
  <c r="F17"/>
  <c r="H17" s="1"/>
  <c r="H15" s="1"/>
  <c r="F16"/>
  <c r="J16" s="1"/>
  <c r="J15" s="1"/>
  <c r="F14"/>
  <c r="H14" s="1"/>
  <c r="F13"/>
  <c r="H13" s="1"/>
  <c r="J215" i="33"/>
  <c r="J210"/>
  <c r="J206"/>
  <c r="J205"/>
  <c r="J203"/>
  <c r="J202"/>
  <c r="J200"/>
  <c r="J199"/>
  <c r="J198"/>
  <c r="J197"/>
  <c r="J195"/>
  <c r="J194"/>
  <c r="J193"/>
  <c r="J190"/>
  <c r="J189"/>
  <c r="J186"/>
  <c r="J180"/>
  <c r="J175"/>
  <c r="J173"/>
  <c r="J171"/>
  <c r="J170"/>
  <c r="J169"/>
  <c r="J166"/>
  <c r="J163"/>
  <c r="J159"/>
  <c r="J153"/>
  <c r="J151"/>
  <c r="J147"/>
  <c r="J146"/>
  <c r="J141"/>
  <c r="J132"/>
  <c r="J130"/>
  <c r="J129"/>
  <c r="J128"/>
  <c r="J124"/>
  <c r="J114"/>
  <c r="J110"/>
  <c r="J106"/>
  <c r="J105"/>
  <c r="J104"/>
  <c r="J101"/>
  <c r="J99"/>
  <c r="J97"/>
  <c r="J93"/>
  <c r="J90"/>
  <c r="J89"/>
  <c r="J86"/>
  <c r="J85"/>
  <c r="J84"/>
  <c r="J83"/>
  <c r="J80"/>
  <c r="J77"/>
  <c r="J72"/>
  <c r="J69"/>
  <c r="J67"/>
  <c r="J63"/>
  <c r="J60"/>
  <c r="J56"/>
  <c r="J46"/>
  <c r="J43"/>
  <c r="J42"/>
  <c r="J39"/>
  <c r="J38"/>
  <c r="J37"/>
  <c r="J19"/>
  <c r="J13"/>
  <c r="H74"/>
  <c r="H73" s="1"/>
  <c r="H102"/>
  <c r="F74"/>
  <c r="F73" s="1"/>
  <c r="F204"/>
  <c r="E187"/>
  <c r="F187"/>
  <c r="F161"/>
  <c r="E161"/>
  <c r="F152"/>
  <c r="E152"/>
  <c r="F33"/>
  <c r="F17"/>
  <c r="F16" s="1"/>
  <c r="E17"/>
  <c r="E16" s="1"/>
  <c r="E68"/>
  <c r="F82"/>
  <c r="E82"/>
  <c r="F121"/>
  <c r="E127"/>
  <c r="E208"/>
  <c r="E213"/>
  <c r="E204"/>
  <c r="F145"/>
  <c r="E145"/>
  <c r="J126"/>
  <c r="J125"/>
  <c r="J123"/>
  <c r="J122"/>
  <c r="J118"/>
  <c r="J117"/>
  <c r="J113"/>
  <c r="J112"/>
  <c r="J108"/>
  <c r="E92"/>
  <c r="E96"/>
  <c r="E74"/>
  <c r="E73" s="1"/>
  <c r="E22"/>
  <c r="F14" i="1"/>
  <c r="F13" s="1"/>
  <c r="H19" i="5" l="1"/>
  <c r="H18" s="1"/>
  <c r="F18"/>
  <c r="H77"/>
  <c r="J92"/>
  <c r="B9" i="50" s="1"/>
  <c r="K92" i="5"/>
  <c r="B13" i="50" s="1"/>
  <c r="E31" i="1"/>
  <c r="K31"/>
  <c r="F22" i="33"/>
  <c r="J33"/>
  <c r="L27" i="44"/>
  <c r="X14"/>
  <c r="X27" s="1"/>
  <c r="H21" i="1"/>
  <c r="H19" s="1"/>
  <c r="F11"/>
  <c r="H12"/>
  <c r="N15"/>
  <c r="P18" i="5"/>
  <c r="P75"/>
  <c r="P60"/>
  <c r="P54"/>
  <c r="H37"/>
  <c r="H34" s="1"/>
  <c r="P23"/>
  <c r="P21"/>
  <c r="P15"/>
  <c r="H50" i="8"/>
  <c r="J103" i="33"/>
  <c r="J152"/>
  <c r="J161"/>
  <c r="J174"/>
  <c r="J192"/>
  <c r="J70"/>
  <c r="J165"/>
  <c r="J214"/>
  <c r="J204"/>
  <c r="J209"/>
  <c r="J201"/>
  <c r="J74"/>
  <c r="J23"/>
  <c r="H28" i="1"/>
  <c r="H26" s="1"/>
  <c r="H30"/>
  <c r="H29" s="1"/>
  <c r="F19"/>
  <c r="F24"/>
  <c r="H18"/>
  <c r="H15" s="1"/>
  <c r="F15"/>
  <c r="F26"/>
  <c r="H14"/>
  <c r="H13" s="1"/>
  <c r="F45" i="5"/>
  <c r="H45" s="1"/>
  <c r="H12"/>
  <c r="F12"/>
  <c r="F15"/>
  <c r="J187" i="33"/>
  <c r="J145"/>
  <c r="J82"/>
  <c r="J208"/>
  <c r="J213"/>
  <c r="J17"/>
  <c r="J111"/>
  <c r="E121"/>
  <c r="J121" s="1"/>
  <c r="J22"/>
  <c r="F72" i="5"/>
  <c r="F91"/>
  <c r="F90"/>
  <c r="H90" s="1"/>
  <c r="H88" s="1"/>
  <c r="H72" l="1"/>
  <c r="F31" i="1"/>
  <c r="F88" i="5"/>
  <c r="I88"/>
  <c r="F86"/>
  <c r="F85"/>
  <c r="H85" s="1"/>
  <c r="H84" s="1"/>
  <c r="H81"/>
  <c r="F80"/>
  <c r="I80" s="1"/>
  <c r="I75" s="1"/>
  <c r="F79"/>
  <c r="F75" s="1"/>
  <c r="F74"/>
  <c r="H74" s="1"/>
  <c r="F73"/>
  <c r="H73" s="1"/>
  <c r="H70" s="1"/>
  <c r="F71"/>
  <c r="F67"/>
  <c r="H67" s="1"/>
  <c r="F66"/>
  <c r="H66" s="1"/>
  <c r="F64"/>
  <c r="F63"/>
  <c r="H63" s="1"/>
  <c r="F58"/>
  <c r="H58" s="1"/>
  <c r="D43"/>
  <c r="F52"/>
  <c r="H52" s="1"/>
  <c r="F50"/>
  <c r="H50" s="1"/>
  <c r="F49"/>
  <c r="H49" s="1"/>
  <c r="F47"/>
  <c r="G47" s="1"/>
  <c r="G43" s="1"/>
  <c r="F46"/>
  <c r="H46" s="1"/>
  <c r="F40"/>
  <c r="F33"/>
  <c r="H33" s="1"/>
  <c r="F32"/>
  <c r="H32" s="1"/>
  <c r="H31"/>
  <c r="F30"/>
  <c r="H30" s="1"/>
  <c r="F29"/>
  <c r="H29" s="1"/>
  <c r="F26"/>
  <c r="F22"/>
  <c r="F21" s="1"/>
  <c r="H181" i="33"/>
  <c r="H178" s="1"/>
  <c r="E140"/>
  <c r="E135" s="1"/>
  <c r="F127"/>
  <c r="E131"/>
  <c r="E102" s="1"/>
  <c r="F131"/>
  <c r="F21" i="8"/>
  <c r="F19"/>
  <c r="H36" i="33"/>
  <c r="H35" s="1"/>
  <c r="H216" s="1"/>
  <c r="F140"/>
  <c r="F135" s="1"/>
  <c r="J79"/>
  <c r="F68"/>
  <c r="J68" s="1"/>
  <c r="F39" i="5"/>
  <c r="M88"/>
  <c r="M92" s="1"/>
  <c r="L40"/>
  <c r="L39" s="1"/>
  <c r="L92" s="1"/>
  <c r="B10" i="50" s="1"/>
  <c r="F70" i="5" l="1"/>
  <c r="G60"/>
  <c r="G92" s="1"/>
  <c r="B8" i="50" s="1"/>
  <c r="H64" i="5"/>
  <c r="P43"/>
  <c r="H27"/>
  <c r="F27"/>
  <c r="F102" i="33"/>
  <c r="J127"/>
  <c r="J131"/>
  <c r="F60" i="5"/>
  <c r="H61"/>
  <c r="H60" s="1"/>
  <c r="H76"/>
  <c r="H75" s="1"/>
  <c r="F84"/>
  <c r="I84"/>
  <c r="I92" s="1"/>
  <c r="B12" i="50" s="1"/>
  <c r="H44" i="5"/>
  <c r="H43" s="1"/>
  <c r="F43"/>
  <c r="H26"/>
  <c r="H23" s="1"/>
  <c r="F23"/>
  <c r="H22"/>
  <c r="H21" s="1"/>
  <c r="F55"/>
  <c r="F54" s="1"/>
  <c r="J61" i="33"/>
  <c r="J135"/>
  <c r="J140"/>
  <c r="F92" i="5" l="1"/>
  <c r="J73" i="33"/>
  <c r="H55" i="5"/>
  <c r="H54" s="1"/>
  <c r="H92" s="1"/>
  <c r="B11" i="50" s="1"/>
  <c r="B14" s="1"/>
  <c r="D88" i="5"/>
  <c r="P88" s="1"/>
  <c r="D84"/>
  <c r="P84" s="1"/>
  <c r="J154" i="33" l="1"/>
  <c r="F196"/>
  <c r="E196"/>
  <c r="E191" s="1"/>
  <c r="F181"/>
  <c r="E181"/>
  <c r="F179"/>
  <c r="E179"/>
  <c r="E178" s="1"/>
  <c r="F168"/>
  <c r="F144" s="1"/>
  <c r="E168"/>
  <c r="E144" s="1"/>
  <c r="J102"/>
  <c r="F100"/>
  <c r="E100"/>
  <c r="F98"/>
  <c r="E98"/>
  <c r="E91" s="1"/>
  <c r="F96"/>
  <c r="F92"/>
  <c r="J92" s="1"/>
  <c r="F88"/>
  <c r="E88"/>
  <c r="E81" s="1"/>
  <c r="F59"/>
  <c r="F58" s="1"/>
  <c r="E59"/>
  <c r="E58" s="1"/>
  <c r="J53"/>
  <c r="F45"/>
  <c r="E45"/>
  <c r="F36"/>
  <c r="E36"/>
  <c r="J16"/>
  <c r="F12"/>
  <c r="F11" s="1"/>
  <c r="E12"/>
  <c r="E11" s="1"/>
  <c r="F178" l="1"/>
  <c r="J96"/>
  <c r="F91"/>
  <c r="J59"/>
  <c r="J98"/>
  <c r="J100"/>
  <c r="J179"/>
  <c r="J181"/>
  <c r="J66"/>
  <c r="J36"/>
  <c r="J45"/>
  <c r="J47"/>
  <c r="J12"/>
  <c r="F81"/>
  <c r="J81" s="1"/>
  <c r="J88"/>
  <c r="J168"/>
  <c r="J144"/>
  <c r="F191"/>
  <c r="J191" s="1"/>
  <c r="J196"/>
  <c r="J58"/>
  <c r="F35"/>
  <c r="F216" s="1"/>
  <c r="E44"/>
  <c r="E35"/>
  <c r="E216" s="1"/>
  <c r="F44"/>
  <c r="J178" l="1"/>
  <c r="J44"/>
  <c r="J35"/>
  <c r="J91"/>
  <c r="J11"/>
  <c r="J216" l="1"/>
  <c r="F15" i="8"/>
  <c r="E15"/>
  <c r="H54"/>
  <c r="H48"/>
  <c r="H41"/>
  <c r="H37"/>
  <c r="H32"/>
  <c r="H30"/>
  <c r="H26"/>
  <c r="H22"/>
  <c r="H20"/>
  <c r="H17"/>
  <c r="H16"/>
  <c r="H13"/>
  <c r="E43"/>
  <c r="E42" s="1"/>
  <c r="F43"/>
  <c r="F42" s="1"/>
  <c r="H15" l="1"/>
  <c r="H43"/>
  <c r="H23"/>
  <c r="E39" i="5" l="1"/>
  <c r="E92" s="1"/>
  <c r="P70" l="1"/>
  <c r="E38" i="22"/>
  <c r="E9"/>
  <c r="E73"/>
  <c r="D73"/>
  <c r="F70"/>
  <c r="F67"/>
  <c r="F66"/>
  <c r="F65"/>
  <c r="F62"/>
  <c r="F61"/>
  <c r="F57"/>
  <c r="F54"/>
  <c r="F53"/>
  <c r="F51"/>
  <c r="F45"/>
  <c r="D42"/>
  <c r="F41"/>
  <c r="F40"/>
  <c r="F39"/>
  <c r="F38"/>
  <c r="F37"/>
  <c r="F36"/>
  <c r="F27"/>
  <c r="F25" s="1"/>
  <c r="F21"/>
  <c r="F20"/>
  <c r="F15"/>
  <c r="F12" s="1"/>
  <c r="F10"/>
  <c r="F9"/>
  <c r="F8" s="1"/>
  <c r="F40" i="8"/>
  <c r="F53"/>
  <c r="F52" s="1"/>
  <c r="F14"/>
  <c r="F31"/>
  <c r="E40"/>
  <c r="E39" s="1"/>
  <c r="E53"/>
  <c r="E52" s="1"/>
  <c r="E14"/>
  <c r="E19"/>
  <c r="E21"/>
  <c r="E31"/>
  <c r="F12"/>
  <c r="F11" s="1"/>
  <c r="E12"/>
  <c r="E11" s="1"/>
  <c r="D27" i="5"/>
  <c r="D92" s="1"/>
  <c r="D39"/>
  <c r="P39" s="1"/>
  <c r="D26" i="1"/>
  <c r="N26" s="1"/>
  <c r="D11"/>
  <c r="D13"/>
  <c r="N13" s="1"/>
  <c r="D19"/>
  <c r="N19" s="1"/>
  <c r="N22"/>
  <c r="D24"/>
  <c r="N24" s="1"/>
  <c r="N29"/>
  <c r="D31" l="1"/>
  <c r="F35" i="22"/>
  <c r="F17"/>
  <c r="H11" i="8"/>
  <c r="N11" i="1"/>
  <c r="N31"/>
  <c r="P27" i="5"/>
  <c r="P92"/>
  <c r="F50" i="22"/>
  <c r="H14" i="8"/>
  <c r="F60" i="22"/>
  <c r="F64"/>
  <c r="E28" i="8"/>
  <c r="P12" i="5"/>
  <c r="H53" i="8"/>
  <c r="H40"/>
  <c r="H34"/>
  <c r="F28"/>
  <c r="H31"/>
  <c r="H29"/>
  <c r="H21"/>
  <c r="H19"/>
  <c r="H12"/>
  <c r="F18"/>
  <c r="E18"/>
  <c r="E55" s="1"/>
  <c r="F39"/>
  <c r="H39" s="1"/>
  <c r="F55" l="1"/>
  <c r="H33"/>
  <c r="H28"/>
  <c r="H42"/>
  <c r="H52"/>
  <c r="H18"/>
  <c r="H55" l="1"/>
  <c r="H11" i="1"/>
  <c r="H31" s="1"/>
</calcChain>
</file>

<file path=xl/sharedStrings.xml><?xml version="1.0" encoding="utf-8"?>
<sst xmlns="http://schemas.openxmlformats.org/spreadsheetml/2006/main" count="1655" uniqueCount="504">
  <si>
    <t>Dział</t>
  </si>
  <si>
    <t>Nazwa podziałki klasyfikacji budżetowej</t>
  </si>
  <si>
    <t>Prognozowane dochody budżetu</t>
  </si>
  <si>
    <t>Powiatu Białogardzkiego</t>
  </si>
  <si>
    <t>(ogółem)</t>
  </si>
  <si>
    <t>związane z realizacją zadań z zakresu administracji rządowej oraz innych zadań zleconych ustawami</t>
  </si>
  <si>
    <t>Wydatki budżetu</t>
  </si>
  <si>
    <t>Rozdział</t>
  </si>
  <si>
    <t>Wydatki bieżące</t>
  </si>
  <si>
    <t>w tym</t>
  </si>
  <si>
    <t>Wydatki na obsługę długu</t>
  </si>
  <si>
    <t xml:space="preserve"> </t>
  </si>
  <si>
    <t>010</t>
  </si>
  <si>
    <t>020</t>
  </si>
  <si>
    <t>Podatek dochodowy od osób fizycznych</t>
  </si>
  <si>
    <t>0010</t>
  </si>
  <si>
    <t>Subwencje ogólne z budżetu państwa</t>
  </si>
  <si>
    <t>0420</t>
  </si>
  <si>
    <t>Wpływy z opłaty komunikacyjnej</t>
  </si>
  <si>
    <t>0470</t>
  </si>
  <si>
    <t>0750</t>
  </si>
  <si>
    <t>0770</t>
  </si>
  <si>
    <t>Wpływy z opłat za zarząd, użytkowanie i użytkowanie wieczyste nieruchomości</t>
  </si>
  <si>
    <t>Dotacje celowe otrzymane z budżetu państwa na realizację bieżących zadań własnych powiatu</t>
  </si>
  <si>
    <t>Razem</t>
  </si>
  <si>
    <t>Rolnictwo i łowiectwo</t>
  </si>
  <si>
    <t>Leśnictwo</t>
  </si>
  <si>
    <t>Gospodarka mieszkaniowa</t>
  </si>
  <si>
    <t>Działalność usługowa</t>
  </si>
  <si>
    <t>Administracja publiczna</t>
  </si>
  <si>
    <t>Bezpieczeństwo publiczne i ochrona przeciwpożarowa</t>
  </si>
  <si>
    <t>Różne rozliczenia</t>
  </si>
  <si>
    <t>Ochrona zdrowia</t>
  </si>
  <si>
    <t>Pomoc społeczna</t>
  </si>
  <si>
    <t>Pozostałe zadania w zakresie polityki społecznej</t>
  </si>
  <si>
    <t>0690</t>
  </si>
  <si>
    <t>Wpływy z różnych opłat</t>
  </si>
  <si>
    <t>Drogi publiczne powiatowe</t>
  </si>
  <si>
    <t>Komendy powiatowe Państwowej Straży Pożarnej</t>
  </si>
  <si>
    <t>Szkoły podstawowe specjalne</t>
  </si>
  <si>
    <t>Licea profilowane</t>
  </si>
  <si>
    <t>Szkoły zawodowe</t>
  </si>
  <si>
    <t>Poradnie psychologiczno-pedagogiczne</t>
  </si>
  <si>
    <t>Placówki wychowania pozaszkolnego</t>
  </si>
  <si>
    <t>Internaty i bursy szkolne</t>
  </si>
  <si>
    <t>Licea ogólnokształcące</t>
  </si>
  <si>
    <t>01005</t>
  </si>
  <si>
    <t>0920</t>
  </si>
  <si>
    <t>Obrona narodowa</t>
  </si>
  <si>
    <t>Pozostałe wydatki obronne</t>
  </si>
  <si>
    <t>0020</t>
  </si>
  <si>
    <t>Podatek dochodowy od osób prawnych</t>
  </si>
  <si>
    <t>Oświata i wychowanie</t>
  </si>
  <si>
    <t>0830</t>
  </si>
  <si>
    <t>0970</t>
  </si>
  <si>
    <t>Wpływy z usług</t>
  </si>
  <si>
    <t>Wpływy z różnych dochodów</t>
  </si>
  <si>
    <t>Pozostałe odsetki</t>
  </si>
  <si>
    <t>Wpłaty z tytułu odpłatnego nabycia prawa własności  oraz prawa użytkowania wieczystego nieruchomości</t>
  </si>
  <si>
    <t>Dochody od osób prawnych, od osób fizycznych i od innych jednostek nieposiadających osobowości prawnej oraz wydatki związane z ich poborem</t>
  </si>
  <si>
    <t>Rozdz.</t>
  </si>
  <si>
    <t>§</t>
  </si>
  <si>
    <t>Prace geodezyjno-urządzeniowe na potrzeby rolnictwa</t>
  </si>
  <si>
    <t>Dot.cel.otrzymane z budżetu państwa na zad. bieżące z zakresu adm. rządowej oraz inne zad. zlecone ustawami realiz.przez powiat</t>
  </si>
  <si>
    <t>02001</t>
  </si>
  <si>
    <t>Gospodarka leśna</t>
  </si>
  <si>
    <t>Środki otrzymane od pozost. jednostek zalicz. do sektora fin. publ. na realizację zadań bieżących jedn. zaliczanych do sektora finansów publ.</t>
  </si>
  <si>
    <t>Transport i łączność</t>
  </si>
  <si>
    <t>Gospodarka gruntami i nieruchomościami</t>
  </si>
  <si>
    <t>Prace geodezyjne i kartograficzne</t>
  </si>
  <si>
    <t>Opracowania geodezyjne i kartograficzne</t>
  </si>
  <si>
    <t>Nadzór budowlany</t>
  </si>
  <si>
    <t>Pozostała działalność</t>
  </si>
  <si>
    <t>Urzędy wojewódzkie</t>
  </si>
  <si>
    <t>Starostwa powiatowe</t>
  </si>
  <si>
    <t>Komisje poborowe</t>
  </si>
  <si>
    <t>Obrona cywilna</t>
  </si>
  <si>
    <t>Udziały powiatów w podatkach stanowiących dochód budżetu państwa</t>
  </si>
  <si>
    <t>Część oświatowa subwencji ogólnej dla jednostek samorządu terytorialnego</t>
  </si>
  <si>
    <t>Część wyrównawcza subwencji ogólnej dla powiatów</t>
  </si>
  <si>
    <t>Różne rozliczenia finansowe</t>
  </si>
  <si>
    <t>Część równoważąca subwencji ogólnej dla powiatów</t>
  </si>
  <si>
    <t>Dokształcanie i doskonalenie nauczycieli</t>
  </si>
  <si>
    <t>Szpitale ogólne</t>
  </si>
  <si>
    <t>Przeciwdziałanie alkoholizmowi</t>
  </si>
  <si>
    <t>Składki na ubezpieczenie zdrowotne oraz świadczenia dla osób nieobjętych obowiązkiem ubezpieczenia zdrowotnego</t>
  </si>
  <si>
    <t>Placówki opiekuńczo-wychowawcze</t>
  </si>
  <si>
    <t>Domy pomocy społecznej</t>
  </si>
  <si>
    <t>Ośrodki wsparcia</t>
  </si>
  <si>
    <t>Zasiłki rodzinne, pielęgnacyjne i wychowawcze</t>
  </si>
  <si>
    <t>Powiatowe centra pomocy rodzinie</t>
  </si>
  <si>
    <t>Zespoły do spraw orzekania o niepełnospr.</t>
  </si>
  <si>
    <t>Powiatowe urzędy pracy</t>
  </si>
  <si>
    <t>Edukacyjna opieka wychowawcza</t>
  </si>
  <si>
    <t>Poradnie psychologiczno-pedagogiczne, w tym poradnie specjalistyczne</t>
  </si>
  <si>
    <t>Pomoc materialna dla uczniów</t>
  </si>
  <si>
    <t>Kultura fizyczna i sport</t>
  </si>
  <si>
    <t>Zadania w zakresie kultury fizycznej i sportu</t>
  </si>
  <si>
    <t>0960</t>
  </si>
  <si>
    <t>02002</t>
  </si>
  <si>
    <t>Nadzór nad gospodarką leśną</t>
  </si>
  <si>
    <t>Działalnośc usługowa</t>
  </si>
  <si>
    <t>Prace geodezyjne i urządzeniowe</t>
  </si>
  <si>
    <t>Rady powiatów</t>
  </si>
  <si>
    <t>Bezpieczeństwo publ. i ochr.przeciwpoż.</t>
  </si>
  <si>
    <t>Komendy wojewódzkie policji</t>
  </si>
  <si>
    <t>Komendy powiat. Państwowej Straży Pożarnej</t>
  </si>
  <si>
    <t>Obsługa długu publicznego</t>
  </si>
  <si>
    <t>Obsługa papierów wartościowychj, kredytów i pożyczek j.s.t</t>
  </si>
  <si>
    <t>Gimnazja specjalne</t>
  </si>
  <si>
    <t>Szkoły zawodowe specjalne</t>
  </si>
  <si>
    <t>Rodziny zastępcze</t>
  </si>
  <si>
    <t>Świadczenia rodzinne oraz składki na ubezpieczenie emerytalne i rentowe z ubezpieczenia społecznego</t>
  </si>
  <si>
    <t>Pozost. zad.w zakresie polityki społecznej</t>
  </si>
  <si>
    <t>Zespoły ds.orzekania o niepełnospr.</t>
  </si>
  <si>
    <t>Kultura i ochrona dziedzictwa narodowego</t>
  </si>
  <si>
    <t>Pozostałe zadania w zakresie kultury</t>
  </si>
  <si>
    <t>Młodzieżowe osrodki wychowawcze</t>
  </si>
  <si>
    <t>01008</t>
  </si>
  <si>
    <t>Melioracje wodne</t>
  </si>
  <si>
    <t>Pomoc materialna dla studentów</t>
  </si>
  <si>
    <t>RAZEM</t>
  </si>
  <si>
    <t>% wykonania do planu</t>
  </si>
  <si>
    <t>Pomoc dla repatriantów</t>
  </si>
  <si>
    <t>Kolonie i obozy oraz inne formy wypoczynku dzieci i młodzieży szkolnej, a także szkol.młodzieży</t>
  </si>
  <si>
    <t>Wykonanie</t>
  </si>
  <si>
    <t>% wykonania</t>
  </si>
  <si>
    <t>0570</t>
  </si>
  <si>
    <t>Młodzieżowe ośrodki wychowawcze</t>
  </si>
  <si>
    <t>Dochody jednostek samorządu terytorialnego związane z realizacją zadań z zakr.admin. rzadowej oraz innych zadań zleconych ustawami</t>
  </si>
  <si>
    <t>Dochody z najmu i dierżawy składników majątkowych Skarbu Państwa, jednostek samorz.teryt. lub innych jednostek zaliczanych do s. f.p. oraz innych umów o podobnym charakterze</t>
  </si>
  <si>
    <t>Dotacje celowe o trzymane z gminy na zadania bieżące realizaowane na podstawie porozumień (umów) między jedn.samorz.terytor.</t>
  </si>
  <si>
    <t>Wpływy ze zwrotów dotacji wykorzystanych niezgodnie z przeznaczeniem lub pobranych w nadmiernej wysokości</t>
  </si>
  <si>
    <t>Dotacje celowe otrzymane z powiatu na zadania bieżące realizowane  na podstawie porozumień (umów) między jedn. samorz. teryt.</t>
  </si>
  <si>
    <t>Plan</t>
  </si>
  <si>
    <t>%</t>
  </si>
  <si>
    <t>Gospodarka komunalna i ochrona środowiska</t>
  </si>
  <si>
    <t>700</t>
  </si>
  <si>
    <t>710</t>
  </si>
  <si>
    <t>750</t>
  </si>
  <si>
    <t>Promocja jednostek samorządu terytorialnego</t>
  </si>
  <si>
    <t xml:space="preserve">         w zł</t>
  </si>
  <si>
    <t xml:space="preserve">           w zł</t>
  </si>
  <si>
    <t>Obsługa papierów wartościowych, kredytów i pożyczek j.s.t</t>
  </si>
  <si>
    <t>0680</t>
  </si>
  <si>
    <t xml:space="preserve"> z tego: </t>
  </si>
  <si>
    <t>Wydatki majątkowe</t>
  </si>
  <si>
    <t xml:space="preserve"> z tego :</t>
  </si>
  <si>
    <t>Ośrodki rewalidacyjno-wychowawcze</t>
  </si>
  <si>
    <t>Obiekty sportowe</t>
  </si>
  <si>
    <t>Rehabilitacja zawodowa i społ. osób niepełnosprawnych</t>
  </si>
  <si>
    <t>Otrzymane spadki, zapisy i darowizny w postaci pieniężnej</t>
  </si>
  <si>
    <t>Wpływy od rodziców z tytułu odpłatności za utrzymanie dzieci (wychowanków) w placówkach opiekuńczo-wychowawczych</t>
  </si>
  <si>
    <t>Treść</t>
  </si>
  <si>
    <t>Plan po zmianach</t>
  </si>
  <si>
    <t>Grzywny, mandaty i inne kary pienieżne od osób fizycznych</t>
  </si>
  <si>
    <t>Ogółem</t>
  </si>
  <si>
    <t>Kwota dotacji</t>
  </si>
  <si>
    <t>Prywatne Studium SCHOLAR</t>
  </si>
  <si>
    <t>Prywatne Liceum Profilowane SCHOLAR (dla młodzieży)</t>
  </si>
  <si>
    <t>Prywatne Policealne Studium Zawodowe</t>
  </si>
  <si>
    <t>w zł</t>
  </si>
  <si>
    <t>Dochody z najmu i dzierżawy składników majątkowych Skarbu Państwa, jednostek samorz.teryt. lub innych jednostek zaliczanych do s. f.p. oraz innych umów o podobnym charakterze</t>
  </si>
  <si>
    <t>Zarządzanie kryzysowe</t>
  </si>
  <si>
    <t>Wpływy z innych opłat stanowiących dochody jednostek samorządu terytorialnego na podstawie ustaw</t>
  </si>
  <si>
    <t>0490</t>
  </si>
  <si>
    <t>Centra kształcenia ustawicznego i praktyczego oraz ośrodki dokształcania zawodowego</t>
  </si>
  <si>
    <t>Centra kształcenia ustawicznegi i praktycznego</t>
  </si>
  <si>
    <t>Stołówki szkolne</t>
  </si>
  <si>
    <t>Biblioteki</t>
  </si>
  <si>
    <t>Nazwa</t>
  </si>
  <si>
    <t>Lp.</t>
  </si>
  <si>
    <t>Ośrodek Rehabilitacyjno-Edukacyjno-Wychowawczy w Kowalkach</t>
  </si>
  <si>
    <r>
      <t>Wykonanie dotacji podmiotowych
udzielone z budżetu Gminy/Powiatu</t>
    </r>
    <r>
      <rPr>
        <sz val="12"/>
        <rFont val="Times New (W1)"/>
        <family val="1"/>
      </rPr>
      <t xml:space="preserve"> ..............................
</t>
    </r>
    <r>
      <rPr>
        <b/>
        <sz val="12"/>
        <rFont val="Times New (W1)"/>
        <family val="1"/>
      </rPr>
      <t>w 2008 r.</t>
    </r>
  </si>
  <si>
    <t xml:space="preserve">udzielonych z budżetu Powiatu Białogardzkiego </t>
  </si>
  <si>
    <t>na zadania własne powiatu realizowane przez podmioty</t>
  </si>
  <si>
    <t>Nazwa zadania</t>
  </si>
  <si>
    <t xml:space="preserve">należące do sektora finansów publicznych </t>
  </si>
  <si>
    <t>Wpłaty Powiatu Białogardzkiego</t>
  </si>
  <si>
    <t>na wyodrębnione fundusze celowe</t>
  </si>
  <si>
    <t>Fundusz celowy</t>
  </si>
  <si>
    <t>1.</t>
  </si>
  <si>
    <t>2.</t>
  </si>
  <si>
    <t>3.</t>
  </si>
  <si>
    <t>0910</t>
  </si>
  <si>
    <t>0870</t>
  </si>
  <si>
    <t>0900</t>
  </si>
  <si>
    <t>Odsetki od nieterminowych wpłat z tytułu podatków i opłat</t>
  </si>
  <si>
    <t>Wpływy ze sprzedaży składników majątkowych</t>
  </si>
  <si>
    <t>Odsetki od dotacji wykorzystanych niezgodnie z przeznaczeniem lub pobranych w nadmiernej wysokości</t>
  </si>
  <si>
    <t>Dochody bieżące</t>
  </si>
  <si>
    <t>Dochody majątkowe</t>
  </si>
  <si>
    <t xml:space="preserve">§ </t>
  </si>
  <si>
    <t>Ośrodki adopcyjno-opiekuńcze</t>
  </si>
  <si>
    <t>01095</t>
  </si>
  <si>
    <t>Drogi publiczne gminne</t>
  </si>
  <si>
    <t>Straż Graniczna</t>
  </si>
  <si>
    <t>Inne formy kształcenia osobno niewymienione</t>
  </si>
  <si>
    <t>Niepubliczna Szkoła Specjalna Przysposabiająca do Pracy w Kowalkach</t>
  </si>
  <si>
    <t>4.</t>
  </si>
  <si>
    <t>5.</t>
  </si>
  <si>
    <t>6.</t>
  </si>
  <si>
    <t>7.</t>
  </si>
  <si>
    <t>8.</t>
  </si>
  <si>
    <t>Wpływy z innych lokalnych opłat pobieranych przez jednostki samorządu terytorialnego na podstawie odrenych ustaw</t>
  </si>
  <si>
    <t>Dotacje celowe w ramach programów finansowanych z udziałem środków europejskich oraz środków, o których mowa w art.. 5 ust. 1 pkt 3 oraz ust. 3 pkt 5 i 6 ustwawy, lub płatności w ramach budżetu środków europejskich</t>
  </si>
  <si>
    <t>Wpływy ze zwrotów dotacji oraz płatności, w tym wykorzystanych niezgodnie z przeznaczeniem lub wykorzystanych z naruszeniem procedur, o których mowa w art.. 184 ustawy, pobranych nienależnie lub w nadmiernej wysokości</t>
  </si>
  <si>
    <t>Dotacje celowe otrzymane z powatu na inwestycje i zakupy inwestycyjne realizowane na podstawie porozumień między jednostkami samorządu terytorialnego</t>
  </si>
  <si>
    <t>Wpływy i wydatki związane z gromadzeniem środków z opłat i kar za korzystanie ze środowiska</t>
  </si>
  <si>
    <t>Zadania w zakresie przeciwdziałania przemocy w rodzinie</t>
  </si>
  <si>
    <t>Wynagrodzenia i składki od nich naliczane</t>
  </si>
  <si>
    <t>Dotacje na zadania bieżące</t>
  </si>
  <si>
    <t>Świadczenia na rzezc osób fizycznych</t>
  </si>
  <si>
    <t>Wydatki na programy finansowane z udziałem środków, o których mowa w art.. 5 ust.1 pkt 2i 3 ustawy o fin.publ., w części zwiazanej z realizacją zadań</t>
  </si>
  <si>
    <t>Wydatki związane z realizacją zadań statutowych</t>
  </si>
  <si>
    <t>dochody bieżące</t>
  </si>
  <si>
    <t>dochody majątkowe</t>
  </si>
  <si>
    <t xml:space="preserve">Przychody i rozchody 
</t>
  </si>
  <si>
    <t>budżetu Powiatu Białogardzkiego</t>
  </si>
  <si>
    <t>Klasyfikacja
§</t>
  </si>
  <si>
    <t>Przychody ogółem:</t>
  </si>
  <si>
    <t>Kredyty</t>
  </si>
  <si>
    <t>§ 952</t>
  </si>
  <si>
    <t>Pożyczki</t>
  </si>
  <si>
    <t>§ 903</t>
  </si>
  <si>
    <t>Spłaty pożyczek udzielonych</t>
  </si>
  <si>
    <t>§ 951</t>
  </si>
  <si>
    <t>Prywatyzacja majątku jst</t>
  </si>
  <si>
    <t xml:space="preserve">§ 944 </t>
  </si>
  <si>
    <t>Nadwyżka budżetu z lat ubiegłych</t>
  </si>
  <si>
    <t>§ 957</t>
  </si>
  <si>
    <t>Papiery wartościowe (obligacje)</t>
  </si>
  <si>
    <t>§ 931</t>
  </si>
  <si>
    <t>Inne źródła (wolne środki)</t>
  </si>
  <si>
    <t>§ 955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</si>
  <si>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</si>
  <si>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</si>
  <si>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</si>
  <si>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</si>
  <si>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</si>
  <si>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</si>
  <si>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</si>
  <si>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</si>
  <si>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</si>
  <si>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</si>
  <si>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</si>
  <si>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</si>
  <si>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</si>
  <si>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</si>
  <si>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Pożyczki na finansowanie zadań realizowanych z udziałem środków pochodzących z budżetu UE</t>
  </si>
  <si>
    <t>Realizacja</t>
  </si>
  <si>
    <t>Tabela Nr 1</t>
  </si>
  <si>
    <t>Tabela Nr 2</t>
  </si>
  <si>
    <t>Tabela Nr 4</t>
  </si>
  <si>
    <t>Według działów i rozdziałów klasyfikacji oraz ważniejszych źródeł:</t>
  </si>
  <si>
    <t>Nazwa instytucji lub zadania</t>
  </si>
  <si>
    <t>Prywatne Liceum Ogólnokształcące SCHOLAR dla Dorosłych po ZSZ</t>
  </si>
  <si>
    <t>Prywatne Liceum Ogólnokształcące SCHOLAR - dla młodzieży</t>
  </si>
  <si>
    <t>Prywatne Liceum Ogólnokształcące dla Dorosłych</t>
  </si>
  <si>
    <t>Prywatne Uzupełniające Liceum Ogólnokształcące dla Dorosłych</t>
  </si>
  <si>
    <t>Prywatne Liceum Profilowane SCHOLAR dla Dorosłych</t>
  </si>
  <si>
    <t>Dotacja na roboty budowlane, remonty, modernizacje, konserwacje obiektów znajdujących się w ewidencjach zabytków lub wpisanych do rejestrów zabytków</t>
  </si>
  <si>
    <t xml:space="preserve"> Dotacje  celowe udzielone z budżetu Powiatu Białogardzkiego</t>
  </si>
  <si>
    <t>Warsztaty Terapii Zajęciowej ISKIERKA w Karlinie</t>
  </si>
  <si>
    <t>Biblioteka Powiatowa</t>
  </si>
  <si>
    <t>2317, 2319</t>
  </si>
  <si>
    <t>Rodzina Razem - Miasto Białogard</t>
  </si>
  <si>
    <t>Rodzina Razem - Gmina Białogard</t>
  </si>
  <si>
    <t>Rodzina razem - Gmina Tychowo</t>
  </si>
  <si>
    <t>Rodzina Razem - Gmina Karlino</t>
  </si>
  <si>
    <t>Kwota przekazana</t>
  </si>
  <si>
    <t>Planowana dotacja</t>
  </si>
  <si>
    <t>Tabela Nr 6</t>
  </si>
  <si>
    <t>Fundusz Wsparcia Morskiego Oddziału Straży Granicznej</t>
  </si>
  <si>
    <t>Dofinansowanie zakupu paliwa do pojazdów służbowych</t>
  </si>
  <si>
    <t>Tabela Nr 8</t>
  </si>
  <si>
    <t>Dotacje celowe</t>
  </si>
  <si>
    <t>udzielone z budżetu Powiatu Białogardzkiego</t>
  </si>
  <si>
    <t>Dotacja dla Stowarzyszenia "SOS Wioski Dziecięce" w Karlinie na prowadzenie placówki opiekuńczo-wychowawczej</t>
  </si>
  <si>
    <t>Prowadzenie Domu Pomocy Społecznej w Białogardzie o zasięgu ponadgminnym (powiatowym) dla osób w podeszłym wieku i osób przewlekle somatycznie chorych - dotacja dla Stowarzyszenia Pomocy PRZYTULISKO w Białogardzie</t>
  </si>
  <si>
    <t>Upowszechnianie kultury fizycznej i sportu realizowane poprzez organizację imprez sportowych dla dzieci i młodzieży w Powiecie Białogardzkim</t>
  </si>
  <si>
    <t>Tabela Nr 7</t>
  </si>
  <si>
    <t>Tabela Nr 9</t>
  </si>
  <si>
    <t>Pomoc finansowa dla PowiatuWałeckiego na organizację obozu sportowego dla młodzieży</t>
  </si>
  <si>
    <t xml:space="preserve">nienależące do sektora finansów publicznych </t>
  </si>
  <si>
    <t xml:space="preserve">na pomoc finansową innym jednostkom samorządu terytorialnego </t>
  </si>
  <si>
    <t>Tabela Nr 12</t>
  </si>
  <si>
    <t>Kwalifikacja wojskowa</t>
  </si>
  <si>
    <t>Dodatkowe służby pełnione przez policjalntów na terenie Powiatu Białogardzkiego</t>
  </si>
  <si>
    <t>Fundusz Wsparcia Policji</t>
  </si>
  <si>
    <t>Tabela Nr 3</t>
  </si>
  <si>
    <t xml:space="preserve">Dochody i wydatki </t>
  </si>
  <si>
    <t xml:space="preserve">związane z realizacją zadań wykonywanych na podstawie porozumień (umów) </t>
  </si>
  <si>
    <t>Dotacje ogółem</t>
  </si>
  <si>
    <t>z tego</t>
  </si>
  <si>
    <t>z tego:</t>
  </si>
  <si>
    <t>Wynagrodzenia i składki od nich naliczne</t>
  </si>
  <si>
    <t>Wydatki zwiazane z realizacją zadań statutowych</t>
  </si>
  <si>
    <t>Dotacja na zadania bieżące</t>
  </si>
  <si>
    <t>Świadczenia na rzecz osób fizycznych</t>
  </si>
  <si>
    <t>Bezpieczeństwo publiczne i ochr.przeciwpożar.</t>
  </si>
  <si>
    <t>Zarzadzanie kryzysowe</t>
  </si>
  <si>
    <t>Wykonanie wydatków ogółem (6+11)</t>
  </si>
  <si>
    <t>Tabela Nr 15</t>
  </si>
  <si>
    <t>Wydatki w dziale 801 - Oświata i wychowanie, 854 - Edukacyjna opieka wychowawcza</t>
  </si>
  <si>
    <t xml:space="preserve">DZIAŁ 801 </t>
  </si>
  <si>
    <t>DZIAŁ 854</t>
  </si>
  <si>
    <t>SZKOŁY PUBLICZNE</t>
  </si>
  <si>
    <t>80102      Szkoły podstawowe specjalne</t>
  </si>
  <si>
    <t>80111 Gimnazja specjalne</t>
  </si>
  <si>
    <t>80120      Licea ogólnkoształcące</t>
  </si>
  <si>
    <t>80123      Licea profilowane</t>
  </si>
  <si>
    <t>80130      Szkoły zawodowe</t>
  </si>
  <si>
    <t xml:space="preserve">80140       Centra kształcenia praktycznego </t>
  </si>
  <si>
    <t>80144 Inne formy kształcenia  osobno niewymienione</t>
  </si>
  <si>
    <t>80146      Dokszt. i dosk. nauczycieli</t>
  </si>
  <si>
    <t>80148 Stołówki szkolne</t>
  </si>
  <si>
    <t>80195 Pozostała działalność</t>
  </si>
  <si>
    <t>Razem dział 801</t>
  </si>
  <si>
    <t>85406 Poradnie psych-pedagogiczne</t>
  </si>
  <si>
    <t>85407 Placówki wychowania pozaszkolnego</t>
  </si>
  <si>
    <t>85410 Internaty i bursy szkolne</t>
  </si>
  <si>
    <t>85415 Pomoc materialna dla uczniów</t>
  </si>
  <si>
    <t>85419     Ośrodki rewalidacyjno-wychowawcze</t>
  </si>
  <si>
    <t>85420 Młodzieżowe ośrodki wychowawcze</t>
  </si>
  <si>
    <t>85446 Doskonalenie i dokształc. nauczycieli</t>
  </si>
  <si>
    <t>85495     Pozostała działalność</t>
  </si>
  <si>
    <t>Razem dział 854</t>
  </si>
  <si>
    <t xml:space="preserve">Ogółem 801+854 </t>
  </si>
  <si>
    <t>Zespół Szkół Specjalnych w Białogardzie</t>
  </si>
  <si>
    <t>Zespół Szkół Ponadgimnazjalnych B-rd</t>
  </si>
  <si>
    <t>Zespół Szkół Ponadgimnazjalnych w Białogardzie</t>
  </si>
  <si>
    <t>Zespół Szkół Ponadgimnazjalnych w Tych.</t>
  </si>
  <si>
    <t>Zespół Szkół Ponadgimnazjalnych w Tychowie</t>
  </si>
  <si>
    <t>Zespół Szkół Ponadgimnazjalnych w Karlinie</t>
  </si>
  <si>
    <t>Liceum Ogólnokształcace w Białogardzie</t>
  </si>
  <si>
    <t xml:space="preserve">Poradnia Psychologiczno-Pedagogiczna </t>
  </si>
  <si>
    <t>Młodzieżowy Dom Kultury w Białogardzie</t>
  </si>
  <si>
    <t>Młodzieżowy Ośrodek Wychowawczy w Podborsku</t>
  </si>
  <si>
    <t>Starostwo Powiatowe</t>
  </si>
  <si>
    <t>Razem placówki oświatowe publiczne</t>
  </si>
  <si>
    <t>Prywatne Liceum Profilowane "Scholar"-dla młodzieży</t>
  </si>
  <si>
    <t>Prywatne Liceum Profilowane "Scholar" dla Dorosłych</t>
  </si>
  <si>
    <t>Prywatne Liceum Profilowane "Scholar"- dla dorosłych</t>
  </si>
  <si>
    <t>Prywatne Liceum Ogólnokształcące "Scholar" dla Dorosłych  po ZSZ</t>
  </si>
  <si>
    <t>Prywatne Liceum Ogólnokształcące dla Dorosłych "Scholar" po ZSZ</t>
  </si>
  <si>
    <t>Prywatne Liceum Ogólnokształcące "Scholar" - dla młodzieży</t>
  </si>
  <si>
    <t xml:space="preserve">Prywatne Studium "Scholar" </t>
  </si>
  <si>
    <t>Niepubliczny Ośrodek Rahabilitacyjno-Edukacyjno-Wychowawczy w Kowalkach</t>
  </si>
  <si>
    <t>Razem placówki oświatowe niepubliczne</t>
  </si>
  <si>
    <t>Razem placówki oświatowe</t>
  </si>
  <si>
    <t>Komendy powiatowe policji</t>
  </si>
  <si>
    <t xml:space="preserve">Kultura fizyczna </t>
  </si>
  <si>
    <t>w 2011 roku</t>
  </si>
  <si>
    <t>Dotacje celowe otrzymane z gminy na zadania bieżące realizowane na podstawie porozumień (umów) między jednostakmi samorządu terytorialnego</t>
  </si>
  <si>
    <t>Środki na dofinansowanie własnych inwestycji gmin, powiatów, samorządów województw, pozyskane z innych źródeł</t>
  </si>
  <si>
    <t>Dotacje celowe otrzymane z budżetu państwa na realizację inwestycji i zakupów inwestycyjnych własnych powiatu</t>
  </si>
  <si>
    <t>Środki na uzupełnienie dochodów powiatów</t>
  </si>
  <si>
    <t>Uzupełnienie subwencji ogólnej dla jednostek samorządu terytorialnego</t>
  </si>
  <si>
    <t>Inspekcja sanitarna</t>
  </si>
  <si>
    <t>Dotacje celowe otrzymane z budżetu państwa na zadania realizowane przez powiat na podstawie porozumień z orgamani administracji rządowej</t>
  </si>
  <si>
    <t>Środki z Funduszu Pracy ptrzymane przez powiat z przeznaczeniem na finansowanie kosztów wynagrodzenia i składek na ubezpieczenia społeczne pracowników powiatowego urzędu pracy</t>
  </si>
  <si>
    <t>Pozostała dziąłalność</t>
  </si>
  <si>
    <t>Ochrona zabytków i opieka nad zabytkami</t>
  </si>
  <si>
    <t>Kultura i ochrona dziedzctwa narodowego</t>
  </si>
  <si>
    <t>Wykonanie, z tego:</t>
  </si>
  <si>
    <t>z tytułu dotacji na finansowanie wydatków na realizację zadań finansowanych z udziałem środków, o których mowa w art.. 5 ust. 1 pkt 2 i 3</t>
  </si>
  <si>
    <t>w 2011 r.</t>
  </si>
  <si>
    <t>I Prywatne Liceum Ogólnokształcące</t>
  </si>
  <si>
    <t>Dotacja dla Miasta Białogard na realizację porozumienia w sprawie zarządzania drogami</t>
  </si>
  <si>
    <t xml:space="preserve">Dotacja dla Miasta Białogard na realizację umowy "Budowy miejsc postojowych przy budynku Szkoły Podstawowej nr 4" </t>
  </si>
  <si>
    <t xml:space="preserve">Dotacja dla Miasta Białogard na realizację umowy dotyczącej realizacji projektu pn. " Przebudowa drogi 1172 Z ul. Piłsudskiego i Zwycięstwa </t>
  </si>
  <si>
    <t>Dotacja dla Szpitala Powiatowego w Białogardzie</t>
  </si>
  <si>
    <t>Dotacje dla innych powiatów na pokrycie kosztów utrzymania dzieci  z Powiatu Białogardzkiego w placówkach opiekuńczo-wychowawczych</t>
  </si>
  <si>
    <t>Dotacje dla innych powiatów na pokrycie kosztów utrzymania dzieci  z Powiatu Białogardzkiego w rodzinach zastępczych</t>
  </si>
  <si>
    <t>Warsztaty Terapii Zajęciowej w Białogardzie</t>
  </si>
  <si>
    <t>Dotacja dla Fundacji IBIS na prowadzenie Wielofunkcyjnej Placówki Opiekuńczo-Wychowawczej DORIAN</t>
  </si>
  <si>
    <t>Tabela Nr 5</t>
  </si>
  <si>
    <t>środki z dotacji 211 - 7096 097,28</t>
  </si>
  <si>
    <t>9297,59 środki powiatu</t>
  </si>
  <si>
    <t>między jednostkami samorządu terytorialnego w 2011 r.</t>
  </si>
  <si>
    <t>na realizację zadań na podstwie porozumień z orgamani administracji rządowej</t>
  </si>
  <si>
    <t>Wykonanie ogółem</t>
  </si>
  <si>
    <t>Pozostała działaność</t>
  </si>
  <si>
    <t>Tabela Nr 10</t>
  </si>
  <si>
    <t>Tabela Nr 11</t>
  </si>
  <si>
    <t xml:space="preserve"> w tym</t>
  </si>
  <si>
    <t>inwestycje i zakupy inwestycyjne</t>
  </si>
  <si>
    <t>Ratownictwo medyczne</t>
  </si>
  <si>
    <t>Rezerwy ogólne i celowe</t>
  </si>
  <si>
    <t>Pomoc finansowa dla Gminy Tychowo na zadanie pn.  "Przebudowa gminnych dróg dojazdowych , w tym przebudowa ulicy Ogrodowej, ulicy Targowej, ulic Kochanowskiego-Słowackiego i ulicy Dolnej w Tychowie oraz drogi gminnej realicji Dobrowo-Dobrówko"</t>
  </si>
  <si>
    <t>Pomoc finansowa dla Powiatu Koszalińskiego na uruchomienie bazy Lotniczego Pogotowia Ratunkowego na lotnisku w Zegrzu Pomorskim</t>
  </si>
  <si>
    <t>Pomoc finansowa dla Gminy Karlino na zadanie p.n. "Budowa hali widowiskowo-sportowej w Karlinie"</t>
  </si>
  <si>
    <t>Tabela nr 13</t>
  </si>
  <si>
    <t>Wykonanie wydatków</t>
  </si>
  <si>
    <t>ogółem w 2011 roku</t>
  </si>
  <si>
    <t>Paragraf</t>
  </si>
  <si>
    <t>Wydatki wykonane</t>
  </si>
  <si>
    <t>Zakup usług pozostałych</t>
  </si>
  <si>
    <t>Pozostałe podatki na rzecz budżetów jednostek samorządu terytorialnego</t>
  </si>
  <si>
    <t>Różne wydatki na rzecz osób fizycznych</t>
  </si>
  <si>
    <t>Zakup materiałów i wyposażenia</t>
  </si>
  <si>
    <t>Podatek od towarów i usług (VAT)</t>
  </si>
  <si>
    <t>Dotacje celowe przekazane gminie na zadania bieżące realizowane na podstawie porozumień (umów) między jst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</si>
  <si>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</si>
  <si>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</si>
  <si>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</si>
  <si>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</si>
  <si>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</si>
  <si>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</si>
  <si>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energii</t>
  </si>
  <si>
    <t>Zakup usług remontowych</t>
  </si>
  <si>
    <t>Zakup usług zdrowotnych</t>
  </si>
  <si>
    <t>Zakup usług dostępu do sieci Internet</t>
  </si>
  <si>
    <t>Opłaty z tytułu zakupu usług telekomunikacyjnych telefonii komórkowej</t>
  </si>
  <si>
    <t>Opłaty z tytułu zakupu usług telekomunikacyjnych telefonii stacjonarnej</t>
  </si>
  <si>
    <t>Podróże służbowe krajowe</t>
  </si>
  <si>
    <t>Odpisy na zakładowy fundusz świadczeń socjalnych</t>
  </si>
  <si>
    <t>Podatek od nieruchomości</t>
  </si>
  <si>
    <t>Opłaty na rzecz budżetu państwa</t>
  </si>
  <si>
    <t>Opłaty na rzecz budżetów JST</t>
  </si>
  <si>
    <t>Koszty postępowania sądowego i prokuratorskiego</t>
  </si>
  <si>
    <t>Szkolenia pracowników niebędących członkami korpusu służby cywilnej</t>
  </si>
  <si>
    <t>Wydatki inwestycyjne jednostek budżetowych</t>
  </si>
  <si>
    <t>Wydatki na zakupy inwestycyjne jednostek budżetowych</t>
  </si>
  <si>
    <t>Dotacje celowe przekazane gminie na inwestycje i zakupy inwestycyjne realizowane na podstawie porozumień (umów) między jst</t>
  </si>
  <si>
    <t>Dotacja celowa na pomoc finansową udzielana między jednostkami samorządu terytorialnego na dofinansowanie własnych zadań inwestycyjnych i zakupów inwestycyjnych</t>
  </si>
  <si>
    <t>Opłaty za administrowanie i czynsze za budynki, lokale i pomieszczenia garażowe</t>
  </si>
  <si>
    <t>Wynagrodzenia osobowe członków korpusu służby cywilnej</t>
  </si>
  <si>
    <t>Różne opłaty i składki</t>
  </si>
  <si>
    <t>Wpłaty na Państwowy Fundusz Rehabilitacji Osób Niepełnosprawnych</t>
  </si>
  <si>
    <t>Zakup pomocy naukowych, dydaktycznych i książek</t>
  </si>
  <si>
    <t>Zakup usług obejmujących tłumaczenia</t>
  </si>
  <si>
    <t>Podróże służbowe zagraniczne</t>
  </si>
  <si>
    <t>Kary i odszkodowania wypłacane na rzecz osób fizycznych</t>
  </si>
  <si>
    <t>Kary i odszkodowania wypłacane na rzecz osób prawnych i innych jednostek organizacyjnych</t>
  </si>
  <si>
    <t>Promocja jednostek samorządu terytorialnego,</t>
  </si>
  <si>
    <t>Rezerwy</t>
  </si>
  <si>
    <t>Wpłaty jednostek na fundusz celowy</t>
  </si>
  <si>
    <t>Wydatki osobowe nie zaliczone do uposażeń wypłacane żołnierzom i funkcjonariuszom</t>
  </si>
  <si>
    <t>Uposażenia żołnierzy zawodowych i nadterminowych oraz funkcjonariuszy</t>
  </si>
  <si>
    <t>Pozostałe należności żołnierzy zawodowych i nadterminowych oraz funkcjonariuszy</t>
  </si>
  <si>
    <t>Dodatkowe uposażenie roczne dla żołnierzy zawodowych oraz nagrody roczne dla funkcjonariuszy</t>
  </si>
  <si>
    <t>Równoważniki pieniężne i ekwiwalenty dla żołnierzy i funkcjonariuszy</t>
  </si>
  <si>
    <t>Zakup leków, wyrobów medycznych i produktów biobójczych</t>
  </si>
  <si>
    <t>Zakup sprzętu i uzbrojenia</t>
  </si>
  <si>
    <t>Pozostałe podatki na rzecz budżetów JST</t>
  </si>
  <si>
    <t>Rozliczenia z bankami związane o obsługą długu publicznego</t>
  </si>
  <si>
    <t>Odsetki i dyskonto od skarbowych papierów wartościowych, kredytów i pożyczek oraz innych instrumentów finansowych, związanych z obsługą długu krajowego</t>
  </si>
  <si>
    <t>Dotacja podmiotowa z budżetu dla niepublicznej jednostki systemu oświaty</t>
  </si>
  <si>
    <t>Zakup akcesoriów komputerowych, w tym programów i licencji</t>
  </si>
  <si>
    <t>Stypendia dla uczniów</t>
  </si>
  <si>
    <t>Zakup środków żywności</t>
  </si>
  <si>
    <t>Pokrycie ujemnego wyniku finansowego i przejetych zobowiązań po likwidowanych i przekształcanych jednostkach zaliczanych do sektora finansów publicznych</t>
  </si>
  <si>
    <t>Dotacje celowe z budżetu na finansowanie lub dofinansowanie kosztów realizacji inwestycji i zakupów inwestycyjnych innych jednostek sektora finansów publicznych</t>
  </si>
  <si>
    <t>Ratownicto medyczne</t>
  </si>
  <si>
    <t xml:space="preserve">Składki na ubezpieczenie zdrowotne </t>
  </si>
  <si>
    <t>Dotacje celowe przekazane dla powiatu na zadania bieżące realizowane na podstawie porozumień (umów) między jst</t>
  </si>
  <si>
    <t>Dotacje celowe z budżetu jednostki samorządu terytorialnego, udzielone w trybie art.. 221 ustawy, na finansowanie lub dofinansowanie zadań zleconych do realizacji organizacjom prowadzącym działalność pożytku publicznego</t>
  </si>
  <si>
    <t>Dotacja celowa z budżetu na finansowanie lub dofinansowanie zadań zleconych do realizacji fundacjom</t>
  </si>
  <si>
    <t>Świadczenia społeczne</t>
  </si>
  <si>
    <t>Zakup usług dostepu do sieci Internet</t>
  </si>
  <si>
    <t>Dotacja celowa z budżetu na finansowanie lub dofinansowanie zadań zleconych do realizacji stowarzyszeniom</t>
  </si>
  <si>
    <t>Dotacje celowe przekazane dla powiatu na zadania bieżące realizowane na podstawie porozumień (umów) między JST</t>
  </si>
  <si>
    <t>Dotacje celowe przekazane gminie na zadania bieżące realizowane na podstawie porozumień (umów) między jednostkami samorządu terytorialnego</t>
  </si>
  <si>
    <t xml:space="preserve">Świadczenia społeczne </t>
  </si>
  <si>
    <t>Bibliteki</t>
  </si>
  <si>
    <t>Dotacje celowe z budżetu na finansowanie lub dofinansowanie prac remontowych i konserwatorskich obiektów zabytkowych przekazane jednostkom niezaliczanym do sektora finansów publicznych</t>
  </si>
  <si>
    <t>Zwrot dotacji oraz płatności, w tym wykorzystanych niezgodnie z przeznaczeniem lub wykorzystanych z naruszeniem procedur, o których mowa w art.. 184 ustawy, pobranych nienależnie lub w nadmiernej wysokości</t>
  </si>
  <si>
    <t>Dotacja celowa na pomoc finansową udzielana między jednostkami samorządu terytorialnego na dofinansowanie własnych zadań bieżących</t>
  </si>
  <si>
    <t>Wydatki majątkowe na zadania finansowane środkami zewnętrznymi</t>
  </si>
  <si>
    <t>Wynagrodzenia i pochodne od wynagrodzeń</t>
  </si>
  <si>
    <t>Świadczenia na  rzecz osób fizycznych</t>
  </si>
  <si>
    <t>Obsługa długu</t>
  </si>
  <si>
    <t>Wydatki na zadania statutowe</t>
  </si>
  <si>
    <t>Wydatki na inwestycje i zakupy inwestycyjne</t>
  </si>
  <si>
    <t xml:space="preserve">Dotacje na zadania inwestycyjne </t>
  </si>
  <si>
    <t>Wydatki bieżące na zadania finansowane środkami zewnętrznymi</t>
  </si>
  <si>
    <t>Struktura wydatków Powiatu Białogardzkiego w 2011 roku</t>
  </si>
  <si>
    <t>Dotacja celowa otrzymana z tytułu pomocy finansowej udzielanej między jednostkami samorządu terytorialnego na dofinansowanie własnych zadań bieżących</t>
  </si>
  <si>
    <t>Dotacja celowa otrzymana z tytułu pomocy finansowej udzielanej między jednostkami samorządu terytorialnego na dofinansowanie własnych zadań inwestycyjnych i zakupów inwestycyjnych</t>
  </si>
  <si>
    <t>Tabela Nr 16</t>
  </si>
  <si>
    <t xml:space="preserve">Zmiany w planie wydatków na realizację programów finansowanych z udziałem środków pochodzacych z budżetu Unii Europejskiej oraz pochodzace ze źródeł zagranicznych niepodlegające zwrotowi dokonane w 2011 roku </t>
  </si>
  <si>
    <t>Uchwała budżetowa III/23/10</t>
  </si>
  <si>
    <t>UR V/32/2011</t>
  </si>
  <si>
    <t>UR VI/42/2011</t>
  </si>
  <si>
    <t>UR VII/50/2011</t>
  </si>
  <si>
    <t>UR VIII/54/2011</t>
  </si>
  <si>
    <t>UR XI/70/2011</t>
  </si>
  <si>
    <t>URXII/81/2011</t>
  </si>
  <si>
    <t>UZ 67/2011</t>
  </si>
  <si>
    <t>UZ 81/2011</t>
  </si>
  <si>
    <t>UZ 92/2011</t>
  </si>
  <si>
    <t xml:space="preserve">Po zmianach </t>
  </si>
  <si>
    <t>1.01.2011</t>
  </si>
  <si>
    <t>28.01.2011</t>
  </si>
  <si>
    <t>4.03.2011</t>
  </si>
  <si>
    <t>31.03.2011</t>
  </si>
  <si>
    <t>29.04.2011</t>
  </si>
  <si>
    <t>30.06.2011</t>
  </si>
  <si>
    <t>30.08.2011</t>
  </si>
  <si>
    <t>7.10.2011</t>
  </si>
  <si>
    <t>30.11.2011</t>
  </si>
  <si>
    <t>Stan na 31.12.2011r.</t>
  </si>
</sst>
</file>

<file path=xl/styles.xml><?xml version="1.0" encoding="utf-8"?>
<styleSheet xmlns="http://schemas.openxmlformats.org/spreadsheetml/2006/main">
  <numFmts count="7">
    <numFmt numFmtId="43" formatCode="_-* #,##0.00\ _z_ł_-;\-* #,##0.00\ _z_ł_-;_-* &quot;-&quot;??\ _z_ł_-;_-@_-"/>
    <numFmt numFmtId="164" formatCode="_-* #,##0.0\ _z_ł_-;\-* #,##0.0\ _z_ł_-;_-* &quot;-&quot;??\ _z_ł_-;_-@_-"/>
    <numFmt numFmtId="165" formatCode="_-* #,##0\ _z_ł_-;\-* #,##0\ _z_ł_-;_-* &quot;-&quot;??\ _z_ł_-;_-@_-"/>
    <numFmt numFmtId="166" formatCode="0.0"/>
    <numFmt numFmtId="167" formatCode="#,##0.0_ ;\-#,##0.0\ "/>
    <numFmt numFmtId="168" formatCode="#,##0.00_ ;\-#,##0.00\ "/>
    <numFmt numFmtId="169" formatCode="#,##0.0"/>
  </numFmts>
  <fonts count="64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(W1)"/>
      <family val="1"/>
    </font>
    <font>
      <sz val="8"/>
      <name val="Times New (W1)"/>
      <family val="1"/>
    </font>
    <font>
      <b/>
      <sz val="10"/>
      <name val="Times New (W1)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Times New (W1)"/>
      <family val="1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(W1)"/>
      <family val="1"/>
    </font>
    <font>
      <sz val="7"/>
      <name val="Times New (W1)"/>
      <family val="1"/>
    </font>
    <font>
      <b/>
      <sz val="12"/>
      <name val="Times New (W1)"/>
      <family val="1"/>
    </font>
    <font>
      <sz val="12"/>
      <name val="Times New (W1)"/>
      <family val="1"/>
    </font>
    <font>
      <b/>
      <sz val="8"/>
      <name val="Times New (W1)"/>
      <family val="1"/>
    </font>
    <font>
      <sz val="7"/>
      <name val="Arial CE"/>
      <charset val="238"/>
    </font>
    <font>
      <sz val="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  <charset val="238"/>
    </font>
    <font>
      <b/>
      <sz val="11"/>
      <name val="Times New Roman"/>
      <family val="1"/>
    </font>
    <font>
      <sz val="6"/>
      <name val="Times New (W1)"/>
      <family val="1"/>
    </font>
    <font>
      <i/>
      <u/>
      <sz val="8"/>
      <name val="Times New (W1)"/>
      <family val="1"/>
    </font>
    <font>
      <b/>
      <sz val="8"/>
      <name val="Times New Roman"/>
      <family val="1"/>
      <charset val="238"/>
    </font>
    <font>
      <b/>
      <sz val="7"/>
      <name val="Times New Roman"/>
      <family val="1"/>
    </font>
    <font>
      <b/>
      <sz val="7"/>
      <name val="Times New (W1)"/>
      <family val="1"/>
    </font>
    <font>
      <b/>
      <sz val="12"/>
      <name val="Times New Roman"/>
      <family val="1"/>
    </font>
    <font>
      <sz val="6"/>
      <name val="Times New Roman"/>
      <family val="1"/>
    </font>
    <font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7.5"/>
      <name val="Times New Roman"/>
      <family val="1"/>
    </font>
    <font>
      <sz val="7.5"/>
      <name val="Times New Roman"/>
      <family val="1"/>
    </font>
    <font>
      <sz val="7.5"/>
      <name val="Times New Roman"/>
      <family val="1"/>
      <charset val="238"/>
    </font>
    <font>
      <sz val="7.5"/>
      <name val="Times New (W1)"/>
      <family val="1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0"/>
      <color theme="0"/>
      <name val="Arial CE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0" fillId="0" borderId="0"/>
  </cellStyleXfs>
  <cellXfs count="6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165" fontId="2" fillId="0" borderId="1" xfId="1" applyNumberFormat="1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49" fontId="2" fillId="0" borderId="1" xfId="0" applyNumberFormat="1" applyFont="1" applyBorder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165" fontId="5" fillId="0" borderId="1" xfId="1" applyNumberFormat="1" applyFont="1" applyBorder="1"/>
    <xf numFmtId="0" fontId="2" fillId="0" borderId="3" xfId="0" quotePrefix="1" applyFont="1" applyBorder="1" applyAlignment="1">
      <alignment horizontal="center"/>
    </xf>
    <xf numFmtId="165" fontId="5" fillId="0" borderId="1" xfId="1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65" fontId="2" fillId="0" borderId="1" xfId="1" applyNumberFormat="1" applyFont="1" applyFill="1" applyBorder="1"/>
    <xf numFmtId="0" fontId="5" fillId="0" borderId="1" xfId="0" applyFont="1" applyBorder="1"/>
    <xf numFmtId="0" fontId="2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165" fontId="5" fillId="0" borderId="0" xfId="1" applyNumberFormat="1" applyFont="1"/>
    <xf numFmtId="165" fontId="6" fillId="0" borderId="0" xfId="0" applyNumberFormat="1" applyFont="1"/>
    <xf numFmtId="165" fontId="2" fillId="0" borderId="2" xfId="1" applyNumberFormat="1" applyFont="1" applyBorder="1"/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Fill="1"/>
    <xf numFmtId="43" fontId="2" fillId="0" borderId="1" xfId="1" applyNumberFormat="1" applyFont="1" applyBorder="1" applyAlignment="1">
      <alignment horizontal="center"/>
    </xf>
    <xf numFmtId="43" fontId="0" fillId="0" borderId="0" xfId="0" applyNumberFormat="1"/>
    <xf numFmtId="165" fontId="8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11" fillId="0" borderId="0" xfId="0" applyFont="1"/>
    <xf numFmtId="0" fontId="12" fillId="0" borderId="1" xfId="0" applyFont="1" applyBorder="1" applyAlignment="1">
      <alignment horizontal="center"/>
    </xf>
    <xf numFmtId="166" fontId="11" fillId="0" borderId="1" xfId="0" applyNumberFormat="1" applyFont="1" applyBorder="1"/>
    <xf numFmtId="165" fontId="5" fillId="0" borderId="0" xfId="0" applyNumberFormat="1" applyFont="1"/>
    <xf numFmtId="0" fontId="5" fillId="0" borderId="0" xfId="0" applyFont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9" fillId="0" borderId="0" xfId="0" applyFont="1" applyAlignme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8" fillId="0" borderId="0" xfId="0" applyNumberFormat="1" applyFont="1"/>
    <xf numFmtId="0" fontId="18" fillId="0" borderId="0" xfId="0" applyFont="1"/>
    <xf numFmtId="0" fontId="15" fillId="0" borderId="6" xfId="0" applyFont="1" applyBorder="1"/>
    <xf numFmtId="0" fontId="15" fillId="0" borderId="3" xfId="0" applyFont="1" applyBorder="1"/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9" fillId="0" borderId="0" xfId="0" applyFont="1"/>
    <xf numFmtId="0" fontId="17" fillId="0" borderId="3" xfId="0" applyFont="1" applyBorder="1" applyAlignment="1">
      <alignment horizontal="center" vertical="center"/>
    </xf>
    <xf numFmtId="0" fontId="24" fillId="0" borderId="0" xfId="0" applyFont="1"/>
    <xf numFmtId="0" fontId="20" fillId="0" borderId="0" xfId="0" applyFont="1"/>
    <xf numFmtId="0" fontId="17" fillId="0" borderId="3" xfId="0" quotePrefix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" xfId="0" quotePrefix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11" fillId="0" borderId="0" xfId="0" applyFont="1" applyAlignment="1">
      <alignment horizontal="right"/>
    </xf>
    <xf numFmtId="0" fontId="11" fillId="0" borderId="0" xfId="0" applyFont="1"/>
    <xf numFmtId="0" fontId="25" fillId="0" borderId="0" xfId="0" applyFont="1"/>
    <xf numFmtId="0" fontId="26" fillId="0" borderId="0" xfId="0" applyFont="1"/>
    <xf numFmtId="0" fontId="26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/>
    </xf>
    <xf numFmtId="0" fontId="28" fillId="0" borderId="1" xfId="0" applyFont="1" applyBorder="1" applyAlignment="1">
      <alignment horizontal="left" vertical="top" wrapText="1"/>
    </xf>
    <xf numFmtId="0" fontId="15" fillId="0" borderId="1" xfId="0" applyFont="1" applyBorder="1"/>
    <xf numFmtId="49" fontId="15" fillId="0" borderId="1" xfId="0" applyNumberFormat="1" applyFont="1" applyBorder="1"/>
    <xf numFmtId="0" fontId="12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6" fontId="13" fillId="0" borderId="1" xfId="0" applyNumberFormat="1" applyFont="1" applyBorder="1"/>
    <xf numFmtId="0" fontId="31" fillId="0" borderId="0" xfId="0" applyFont="1" applyAlignment="1">
      <alignment horizontal="right"/>
    </xf>
    <xf numFmtId="0" fontId="30" fillId="0" borderId="1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166" fontId="11" fillId="0" borderId="1" xfId="0" applyNumberFormat="1" applyFont="1" applyFill="1" applyBorder="1" applyAlignment="1">
      <alignment vertical="center"/>
    </xf>
    <xf numFmtId="0" fontId="27" fillId="2" borderId="1" xfId="0" quotePrefix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left"/>
    </xf>
    <xf numFmtId="0" fontId="15" fillId="0" borderId="1" xfId="0" quotePrefix="1" applyFont="1" applyBorder="1" applyAlignment="1">
      <alignment horizontal="center" vertical="center"/>
    </xf>
    <xf numFmtId="0" fontId="27" fillId="2" borderId="1" xfId="0" quotePrefix="1" applyFont="1" applyFill="1" applyBorder="1" applyAlignment="1">
      <alignment horizontal="center" vertical="center"/>
    </xf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0" fontId="27" fillId="2" borderId="2" xfId="0" applyFont="1" applyFill="1" applyBorder="1" applyAlignment="1">
      <alignment horizontal="center" vertical="center"/>
    </xf>
    <xf numFmtId="0" fontId="28" fillId="0" borderId="12" xfId="0" quotePrefix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 vertical="top" wrapText="1"/>
    </xf>
    <xf numFmtId="0" fontId="15" fillId="0" borderId="3" xfId="0" quotePrefix="1" applyFont="1" applyBorder="1" applyAlignment="1">
      <alignment horizontal="center" vertical="center"/>
    </xf>
    <xf numFmtId="0" fontId="15" fillId="0" borderId="12" xfId="0" quotePrefix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7" fillId="2" borderId="4" xfId="0" applyFont="1" applyFill="1" applyBorder="1" applyAlignment="1">
      <alignment horizontal="center" vertical="center"/>
    </xf>
    <xf numFmtId="0" fontId="28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right"/>
    </xf>
    <xf numFmtId="0" fontId="15" fillId="0" borderId="1" xfId="0" applyFont="1" applyBorder="1" applyAlignment="1">
      <alignment horizontal="left" wrapText="1"/>
    </xf>
    <xf numFmtId="43" fontId="15" fillId="0" borderId="1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top" wrapText="1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1" fillId="0" borderId="0" xfId="0" applyFont="1"/>
    <xf numFmtId="0" fontId="28" fillId="0" borderId="1" xfId="0" applyFont="1" applyFill="1" applyBorder="1" applyAlignment="1">
      <alignment horizontal="center" vertical="center"/>
    </xf>
    <xf numFmtId="0" fontId="11" fillId="0" borderId="0" xfId="0" applyFont="1"/>
    <xf numFmtId="0" fontId="28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5" fontId="13" fillId="0" borderId="0" xfId="1" applyNumberFormat="1" applyFont="1" applyBorder="1" applyAlignment="1">
      <alignment vertical="center"/>
    </xf>
    <xf numFmtId="43" fontId="13" fillId="0" borderId="0" xfId="0" applyNumberFormat="1" applyFont="1" applyBorder="1"/>
    <xf numFmtId="166" fontId="13" fillId="0" borderId="0" xfId="0" applyNumberFormat="1" applyFont="1" applyFill="1" applyBorder="1"/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3" fontId="9" fillId="0" borderId="0" xfId="0" applyNumberFormat="1" applyFont="1" applyFill="1"/>
    <xf numFmtId="43" fontId="0" fillId="0" borderId="0" xfId="0" applyNumberFormat="1" applyFill="1"/>
    <xf numFmtId="43" fontId="21" fillId="0" borderId="0" xfId="0" applyNumberFormat="1" applyFont="1" applyFill="1"/>
    <xf numFmtId="0" fontId="15" fillId="0" borderId="1" xfId="0" applyNumberFormat="1" applyFont="1" applyFill="1" applyBorder="1" applyAlignment="1">
      <alignment horizontal="center"/>
    </xf>
    <xf numFmtId="168" fontId="27" fillId="2" borderId="1" xfId="1" applyNumberFormat="1" applyFont="1" applyFill="1" applyBorder="1" applyAlignment="1">
      <alignment horizontal="right" vertical="center"/>
    </xf>
    <xf numFmtId="168" fontId="15" fillId="0" borderId="1" xfId="1" applyNumberFormat="1" applyFont="1" applyFill="1" applyBorder="1" applyAlignment="1">
      <alignment horizontal="right" vertical="center"/>
    </xf>
    <xf numFmtId="168" fontId="28" fillId="0" borderId="4" xfId="1" applyNumberFormat="1" applyFont="1" applyFill="1" applyBorder="1" applyAlignment="1">
      <alignment horizontal="right" vertical="center"/>
    </xf>
    <xf numFmtId="168" fontId="15" fillId="0" borderId="4" xfId="1" applyNumberFormat="1" applyFont="1" applyFill="1" applyBorder="1" applyAlignment="1">
      <alignment horizontal="right" vertical="center"/>
    </xf>
    <xf numFmtId="168" fontId="32" fillId="0" borderId="1" xfId="1" applyNumberFormat="1" applyFont="1" applyFill="1" applyBorder="1" applyAlignment="1">
      <alignment horizontal="right" vertical="center"/>
    </xf>
    <xf numFmtId="168" fontId="28" fillId="0" borderId="1" xfId="1" applyNumberFormat="1" applyFont="1" applyFill="1" applyBorder="1" applyAlignment="1">
      <alignment horizontal="right" vertical="center"/>
    </xf>
    <xf numFmtId="168" fontId="27" fillId="2" borderId="1" xfId="1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4" fontId="27" fillId="2" borderId="1" xfId="1" applyNumberFormat="1" applyFont="1" applyFill="1" applyBorder="1" applyAlignment="1">
      <alignment horizontal="right" vertical="center"/>
    </xf>
    <xf numFmtId="4" fontId="15" fillId="0" borderId="1" xfId="1" applyNumberFormat="1" applyFont="1" applyFill="1" applyBorder="1" applyAlignment="1">
      <alignment horizontal="right" vertical="center"/>
    </xf>
    <xf numFmtId="4" fontId="28" fillId="0" borderId="4" xfId="1" applyNumberFormat="1" applyFont="1" applyFill="1" applyBorder="1" applyAlignment="1">
      <alignment horizontal="right" vertical="center"/>
    </xf>
    <xf numFmtId="4" fontId="15" fillId="0" borderId="4" xfId="1" applyNumberFormat="1" applyFont="1" applyFill="1" applyBorder="1" applyAlignment="1">
      <alignment horizontal="right" vertical="center"/>
    </xf>
    <xf numFmtId="4" fontId="32" fillId="0" borderId="1" xfId="1" applyNumberFormat="1" applyFont="1" applyFill="1" applyBorder="1" applyAlignment="1">
      <alignment horizontal="right" vertical="center"/>
    </xf>
    <xf numFmtId="4" fontId="28" fillId="0" borderId="1" xfId="1" applyNumberFormat="1" applyFont="1" applyFill="1" applyBorder="1" applyAlignment="1">
      <alignment horizontal="right" vertical="center"/>
    </xf>
    <xf numFmtId="4" fontId="0" fillId="0" borderId="0" xfId="0" applyNumberFormat="1" applyFill="1"/>
    <xf numFmtId="4" fontId="15" fillId="0" borderId="10" xfId="1" applyNumberFormat="1" applyFont="1" applyBorder="1" applyAlignment="1">
      <alignment vertical="center"/>
    </xf>
    <xf numFmtId="4" fontId="15" fillId="0" borderId="1" xfId="1" applyNumberFormat="1" applyFont="1" applyBorder="1"/>
    <xf numFmtId="4" fontId="15" fillId="0" borderId="1" xfId="1" applyNumberFormat="1" applyFont="1" applyFill="1" applyBorder="1"/>
    <xf numFmtId="4" fontId="28" fillId="0" borderId="1" xfId="1" applyNumberFormat="1" applyFont="1" applyBorder="1"/>
    <xf numFmtId="0" fontId="36" fillId="0" borderId="2" xfId="0" applyFont="1" applyBorder="1" applyAlignment="1">
      <alignment vertical="top" wrapText="1"/>
    </xf>
    <xf numFmtId="4" fontId="0" fillId="0" borderId="0" xfId="0" applyNumberFormat="1"/>
    <xf numFmtId="0" fontId="15" fillId="3" borderId="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4" fontId="17" fillId="0" borderId="1" xfId="1" applyNumberFormat="1" applyFont="1" applyBorder="1" applyAlignment="1">
      <alignment horizontal="right"/>
    </xf>
    <xf numFmtId="167" fontId="21" fillId="0" borderId="1" xfId="1" applyNumberFormat="1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49" fontId="12" fillId="0" borderId="1" xfId="0" applyNumberFormat="1" applyFont="1" applyBorder="1"/>
    <xf numFmtId="4" fontId="27" fillId="0" borderId="1" xfId="0" applyNumberFormat="1" applyFont="1" applyBorder="1" applyAlignment="1">
      <alignment horizontal="right"/>
    </xf>
    <xf numFmtId="4" fontId="27" fillId="0" borderId="1" xfId="1" applyNumberFormat="1" applyFont="1" applyBorder="1" applyAlignment="1">
      <alignment horizontal="right"/>
    </xf>
    <xf numFmtId="4" fontId="27" fillId="0" borderId="8" xfId="1" applyNumberFormat="1" applyFont="1" applyBorder="1" applyAlignment="1">
      <alignment horizontal="right"/>
    </xf>
    <xf numFmtId="4" fontId="15" fillId="0" borderId="1" xfId="1" applyNumberFormat="1" applyFont="1" applyBorder="1" applyAlignment="1">
      <alignment horizontal="right"/>
    </xf>
    <xf numFmtId="4" fontId="15" fillId="0" borderId="8" xfId="1" applyNumberFormat="1" applyFont="1" applyBorder="1" applyAlignment="1">
      <alignment horizontal="right"/>
    </xf>
    <xf numFmtId="4" fontId="15" fillId="0" borderId="1" xfId="1" applyNumberFormat="1" applyFont="1" applyFill="1" applyBorder="1" applyAlignment="1">
      <alignment horizontal="right"/>
    </xf>
    <xf numFmtId="167" fontId="27" fillId="0" borderId="1" xfId="1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right" vertical="top" wrapText="1"/>
    </xf>
    <xf numFmtId="0" fontId="16" fillId="0" borderId="0" xfId="0" applyFont="1" applyAlignment="1">
      <alignment horizontal="right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43" fontId="9" fillId="0" borderId="14" xfId="1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43" fontId="9" fillId="0" borderId="17" xfId="1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43" fontId="9" fillId="0" borderId="18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7" fillId="0" borderId="0" xfId="0" applyFont="1"/>
    <xf numFmtId="0" fontId="37" fillId="0" borderId="0" xfId="0" applyFont="1" applyAlignment="1">
      <alignment vertical="center"/>
    </xf>
    <xf numFmtId="43" fontId="9" fillId="0" borderId="14" xfId="1" applyFont="1" applyBorder="1" applyAlignment="1">
      <alignment horizontal="center" vertical="center"/>
    </xf>
    <xf numFmtId="43" fontId="9" fillId="0" borderId="17" xfId="1" applyFont="1" applyBorder="1" applyAlignment="1">
      <alignment horizontal="center" vertical="center"/>
    </xf>
    <xf numFmtId="43" fontId="9" fillId="0" borderId="18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9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9" fillId="0" borderId="0" xfId="0" applyFont="1"/>
    <xf numFmtId="0" fontId="40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28" fillId="0" borderId="0" xfId="0" applyFont="1" applyAlignment="1">
      <alignment horizontal="right"/>
    </xf>
    <xf numFmtId="0" fontId="42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1" xfId="0" applyFont="1" applyBorder="1" applyAlignment="1">
      <alignment wrapText="1"/>
    </xf>
    <xf numFmtId="0" fontId="41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168" fontId="11" fillId="0" borderId="1" xfId="1" applyNumberFormat="1" applyFont="1" applyBorder="1"/>
    <xf numFmtId="4" fontId="43" fillId="0" borderId="1" xfId="0" applyNumberFormat="1" applyFont="1" applyBorder="1"/>
    <xf numFmtId="4" fontId="41" fillId="0" borderId="1" xfId="0" applyNumberFormat="1" applyFont="1" applyBorder="1"/>
    <xf numFmtId="168" fontId="13" fillId="0" borderId="1" xfId="1" applyNumberFormat="1" applyFont="1" applyBorder="1"/>
    <xf numFmtId="0" fontId="13" fillId="2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166" fontId="13" fillId="0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/>
    </xf>
    <xf numFmtId="168" fontId="9" fillId="0" borderId="2" xfId="1" applyNumberFormat="1" applyFont="1" applyBorder="1" applyAlignment="1">
      <alignment horizontal="right" vertical="center"/>
    </xf>
    <xf numFmtId="168" fontId="41" fillId="0" borderId="1" xfId="0" applyNumberFormat="1" applyFont="1" applyBorder="1" applyAlignment="1">
      <alignment horizontal="right" vertical="center"/>
    </xf>
    <xf numFmtId="164" fontId="41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168" fontId="32" fillId="2" borderId="1" xfId="1" applyNumberFormat="1" applyFont="1" applyFill="1" applyBorder="1" applyAlignment="1">
      <alignment horizontal="right" vertical="center"/>
    </xf>
    <xf numFmtId="4" fontId="32" fillId="2" borderId="1" xfId="1" applyNumberFormat="1" applyFont="1" applyFill="1" applyBorder="1" applyAlignment="1">
      <alignment horizontal="right" vertical="center"/>
    </xf>
    <xf numFmtId="0" fontId="32" fillId="2" borderId="1" xfId="0" quotePrefix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top" wrapText="1"/>
    </xf>
    <xf numFmtId="4" fontId="28" fillId="0" borderId="1" xfId="1" applyNumberFormat="1" applyFont="1" applyFill="1" applyBorder="1"/>
    <xf numFmtId="0" fontId="11" fillId="0" borderId="1" xfId="0" applyFont="1" applyBorder="1" applyAlignment="1">
      <alignment horizontal="center" vertical="center"/>
    </xf>
    <xf numFmtId="168" fontId="9" fillId="0" borderId="14" xfId="1" applyNumberFormat="1" applyFont="1" applyBorder="1" applyAlignment="1">
      <alignment horizontal="right" vertical="center"/>
    </xf>
    <xf numFmtId="0" fontId="43" fillId="0" borderId="1" xfId="0" applyFont="1" applyFill="1" applyBorder="1" applyAlignment="1">
      <alignment wrapText="1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/>
    </xf>
    <xf numFmtId="168" fontId="13" fillId="0" borderId="1" xfId="1" applyNumberFormat="1" applyFont="1" applyBorder="1" applyAlignment="1">
      <alignment vertical="center"/>
    </xf>
    <xf numFmtId="168" fontId="13" fillId="0" borderId="1" xfId="0" applyNumberFormat="1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wrapText="1"/>
    </xf>
    <xf numFmtId="0" fontId="46" fillId="0" borderId="1" xfId="0" applyFont="1" applyBorder="1" applyAlignment="1">
      <alignment wrapText="1"/>
    </xf>
    <xf numFmtId="0" fontId="46" fillId="0" borderId="1" xfId="0" applyFont="1" applyFill="1" applyBorder="1" applyAlignment="1">
      <alignment wrapText="1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4" fontId="14" fillId="2" borderId="1" xfId="0" applyNumberFormat="1" applyFont="1" applyFill="1" applyBorder="1" applyAlignment="1">
      <alignment horizontal="right" vertical="center" wrapText="1"/>
    </xf>
    <xf numFmtId="4" fontId="14" fillId="2" borderId="1" xfId="1" applyNumberFormat="1" applyFont="1" applyFill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top" wrapText="1"/>
    </xf>
    <xf numFmtId="4" fontId="16" fillId="0" borderId="1" xfId="1" applyNumberFormat="1" applyFont="1" applyBorder="1" applyAlignment="1">
      <alignment horizontal="right"/>
    </xf>
    <xf numFmtId="4" fontId="14" fillId="2" borderId="3" xfId="0" applyNumberFormat="1" applyFont="1" applyFill="1" applyBorder="1" applyAlignment="1">
      <alignment horizontal="right" vertical="top" wrapText="1"/>
    </xf>
    <xf numFmtId="4" fontId="14" fillId="2" borderId="1" xfId="1" applyNumberFormat="1" applyFont="1" applyFill="1" applyBorder="1" applyAlignment="1">
      <alignment horizontal="right"/>
    </xf>
    <xf numFmtId="4" fontId="16" fillId="0" borderId="1" xfId="1" applyNumberFormat="1" applyFont="1" applyFill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" fontId="14" fillId="0" borderId="8" xfId="1" applyNumberFormat="1" applyFont="1" applyBorder="1" applyAlignment="1">
      <alignment horizontal="right"/>
    </xf>
    <xf numFmtId="4" fontId="14" fillId="0" borderId="1" xfId="1" applyNumberFormat="1" applyFont="1" applyBorder="1" applyAlignment="1">
      <alignment horizontal="right"/>
    </xf>
    <xf numFmtId="0" fontId="15" fillId="0" borderId="0" xfId="0" applyFont="1"/>
    <xf numFmtId="0" fontId="27" fillId="0" borderId="0" xfId="0" applyFont="1" applyFill="1" applyBorder="1"/>
    <xf numFmtId="0" fontId="27" fillId="0" borderId="0" xfId="0" applyFont="1"/>
    <xf numFmtId="0" fontId="10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wrapText="1"/>
    </xf>
    <xf numFmtId="0" fontId="27" fillId="5" borderId="1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27" fillId="4" borderId="1" xfId="0" applyFont="1" applyFill="1" applyBorder="1" applyAlignment="1">
      <alignment vertical="top" wrapText="1"/>
    </xf>
    <xf numFmtId="165" fontId="27" fillId="0" borderId="0" xfId="1" applyNumberFormat="1" applyFont="1" applyFill="1" applyBorder="1"/>
    <xf numFmtId="0" fontId="27" fillId="4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165" fontId="28" fillId="0" borderId="0" xfId="1" applyNumberFormat="1" applyFont="1" applyFill="1" applyBorder="1"/>
    <xf numFmtId="0" fontId="28" fillId="0" borderId="2" xfId="0" applyFont="1" applyFill="1" applyBorder="1" applyAlignment="1">
      <alignment vertical="top" wrapText="1"/>
    </xf>
    <xf numFmtId="0" fontId="27" fillId="4" borderId="2" xfId="0" applyFont="1" applyFill="1" applyBorder="1" applyAlignment="1">
      <alignment wrapText="1"/>
    </xf>
    <xf numFmtId="0" fontId="27" fillId="4" borderId="21" xfId="0" applyFont="1" applyFill="1" applyBorder="1" applyAlignment="1">
      <alignment wrapText="1"/>
    </xf>
    <xf numFmtId="165" fontId="27" fillId="0" borderId="0" xfId="0" applyNumberFormat="1" applyFont="1" applyFill="1" applyBorder="1"/>
    <xf numFmtId="167" fontId="15" fillId="0" borderId="1" xfId="1" applyNumberFormat="1" applyFont="1" applyBorder="1" applyAlignment="1">
      <alignment horizontal="right"/>
    </xf>
    <xf numFmtId="168" fontId="15" fillId="0" borderId="1" xfId="1" applyNumberFormat="1" applyFont="1" applyBorder="1" applyAlignment="1">
      <alignment horizontal="right"/>
    </xf>
    <xf numFmtId="168" fontId="27" fillId="5" borderId="1" xfId="1" applyNumberFormat="1" applyFont="1" applyFill="1" applyBorder="1" applyAlignment="1">
      <alignment horizontal="right"/>
    </xf>
    <xf numFmtId="168" fontId="27" fillId="4" borderId="1" xfId="1" applyNumberFormat="1" applyFont="1" applyFill="1" applyBorder="1" applyAlignment="1">
      <alignment horizontal="right"/>
    </xf>
    <xf numFmtId="168" fontId="28" fillId="0" borderId="1" xfId="1" applyNumberFormat="1" applyFont="1" applyFill="1" applyBorder="1" applyAlignment="1">
      <alignment horizontal="right"/>
    </xf>
    <xf numFmtId="168" fontId="28" fillId="6" borderId="1" xfId="1" applyNumberFormat="1" applyFont="1" applyFill="1" applyBorder="1" applyAlignment="1">
      <alignment horizontal="right"/>
    </xf>
    <xf numFmtId="168" fontId="28" fillId="4" borderId="1" xfId="1" applyNumberFormat="1" applyFont="1" applyFill="1" applyBorder="1" applyAlignment="1">
      <alignment horizontal="right"/>
    </xf>
    <xf numFmtId="168" fontId="28" fillId="0" borderId="2" xfId="1" applyNumberFormat="1" applyFont="1" applyFill="1" applyBorder="1" applyAlignment="1">
      <alignment horizontal="right"/>
    </xf>
    <xf numFmtId="168" fontId="28" fillId="6" borderId="2" xfId="1" applyNumberFormat="1" applyFont="1" applyFill="1" applyBorder="1" applyAlignment="1">
      <alignment horizontal="right"/>
    </xf>
    <xf numFmtId="168" fontId="27" fillId="4" borderId="2" xfId="1" applyNumberFormat="1" applyFont="1" applyFill="1" applyBorder="1" applyAlignment="1">
      <alignment horizontal="right"/>
    </xf>
    <xf numFmtId="168" fontId="27" fillId="4" borderId="22" xfId="0" applyNumberFormat="1" applyFont="1" applyFill="1" applyBorder="1" applyAlignment="1">
      <alignment horizontal="right"/>
    </xf>
    <xf numFmtId="168" fontId="27" fillId="4" borderId="23" xfId="0" applyNumberFormat="1" applyFont="1" applyFill="1" applyBorder="1" applyAlignment="1">
      <alignment horizontal="right"/>
    </xf>
    <xf numFmtId="168" fontId="26" fillId="0" borderId="1" xfId="1" applyNumberFormat="1" applyFont="1" applyBorder="1" applyAlignment="1">
      <alignment horizontal="right"/>
    </xf>
    <xf numFmtId="168" fontId="33" fillId="4" borderId="1" xfId="1" applyNumberFormat="1" applyFont="1" applyFill="1" applyBorder="1" applyAlignment="1">
      <alignment horizontal="right"/>
    </xf>
    <xf numFmtId="168" fontId="26" fillId="0" borderId="1" xfId="1" applyNumberFormat="1" applyFont="1" applyFill="1" applyBorder="1" applyAlignment="1">
      <alignment horizontal="right"/>
    </xf>
    <xf numFmtId="168" fontId="28" fillId="5" borderId="1" xfId="1" applyNumberFormat="1" applyFont="1" applyFill="1" applyBorder="1" applyAlignment="1">
      <alignment horizontal="right"/>
    </xf>
    <xf numFmtId="168" fontId="26" fillId="0" borderId="2" xfId="1" applyNumberFormat="1" applyFont="1" applyFill="1" applyBorder="1" applyAlignment="1">
      <alignment horizontal="right"/>
    </xf>
    <xf numFmtId="168" fontId="33" fillId="4" borderId="2" xfId="1" applyNumberFormat="1" applyFont="1" applyFill="1" applyBorder="1" applyAlignment="1">
      <alignment horizontal="right"/>
    </xf>
    <xf numFmtId="168" fontId="33" fillId="4" borderId="22" xfId="0" applyNumberFormat="1" applyFont="1" applyFill="1" applyBorder="1" applyAlignment="1">
      <alignment horizontal="right"/>
    </xf>
    <xf numFmtId="0" fontId="27" fillId="0" borderId="1" xfId="0" quotePrefix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165" fontId="15" fillId="0" borderId="1" xfId="1" applyNumberFormat="1" applyFont="1" applyBorder="1" applyAlignment="1">
      <alignment horizontal="left"/>
    </xf>
    <xf numFmtId="165" fontId="27" fillId="0" borderId="1" xfId="1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/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Fill="1"/>
    <xf numFmtId="0" fontId="28" fillId="0" borderId="1" xfId="0" applyFont="1" applyFill="1" applyBorder="1"/>
    <xf numFmtId="168" fontId="0" fillId="0" borderId="0" xfId="0" applyNumberFormat="1" applyFill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168" fontId="15" fillId="0" borderId="1" xfId="1" applyNumberFormat="1" applyFont="1" applyFill="1" applyBorder="1" applyAlignment="1">
      <alignment vertical="center"/>
    </xf>
    <xf numFmtId="4" fontId="15" fillId="0" borderId="1" xfId="1" applyNumberFormat="1" applyFont="1" applyBorder="1" applyAlignment="1">
      <alignment vertical="center"/>
    </xf>
    <xf numFmtId="167" fontId="33" fillId="2" borderId="1" xfId="1" applyNumberFormat="1" applyFont="1" applyFill="1" applyBorder="1" applyAlignment="1">
      <alignment horizontal="right" vertical="center"/>
    </xf>
    <xf numFmtId="167" fontId="26" fillId="0" borderId="1" xfId="1" applyNumberFormat="1" applyFont="1" applyBorder="1" applyAlignment="1">
      <alignment horizontal="right" vertical="center"/>
    </xf>
    <xf numFmtId="167" fontId="26" fillId="2" borderId="1" xfId="1" applyNumberFormat="1" applyFont="1" applyFill="1" applyBorder="1" applyAlignment="1">
      <alignment horizontal="right" vertical="center"/>
    </xf>
    <xf numFmtId="167" fontId="44" fillId="0" borderId="1" xfId="1" applyNumberFormat="1" applyFont="1" applyBorder="1" applyAlignment="1">
      <alignment horizontal="right" vertical="center"/>
    </xf>
    <xf numFmtId="167" fontId="45" fillId="2" borderId="1" xfId="1" applyNumberFormat="1" applyFont="1" applyFill="1" applyBorder="1" applyAlignment="1">
      <alignment horizontal="right" vertical="center"/>
    </xf>
    <xf numFmtId="4" fontId="15" fillId="0" borderId="10" xfId="1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/>
    </xf>
    <xf numFmtId="4" fontId="43" fillId="0" borderId="1" xfId="0" applyNumberFormat="1" applyFont="1" applyBorder="1" applyAlignment="1">
      <alignment horizontal="right"/>
    </xf>
    <xf numFmtId="4" fontId="46" fillId="0" borderId="1" xfId="0" applyNumberFormat="1" applyFont="1" applyBorder="1" applyAlignment="1">
      <alignment horizontal="right" vertical="center"/>
    </xf>
    <xf numFmtId="166" fontId="17" fillId="0" borderId="1" xfId="0" applyNumberFormat="1" applyFont="1" applyBorder="1" applyAlignment="1">
      <alignment vertical="center"/>
    </xf>
    <xf numFmtId="168" fontId="17" fillId="0" borderId="1" xfId="0" applyNumberFormat="1" applyFont="1" applyBorder="1" applyAlignment="1">
      <alignment vertical="center"/>
    </xf>
    <xf numFmtId="168" fontId="16" fillId="0" borderId="1" xfId="1" applyNumberFormat="1" applyFont="1" applyBorder="1" applyAlignment="1">
      <alignment vertical="center"/>
    </xf>
    <xf numFmtId="166" fontId="20" fillId="0" borderId="1" xfId="0" applyNumberFormat="1" applyFont="1" applyBorder="1" applyAlignment="1">
      <alignment vertical="center"/>
    </xf>
    <xf numFmtId="168" fontId="43" fillId="0" borderId="1" xfId="1" applyNumberFormat="1" applyFont="1" applyBorder="1" applyAlignment="1">
      <alignment horizontal="right"/>
    </xf>
    <xf numFmtId="168" fontId="9" fillId="0" borderId="1" xfId="1" applyNumberFormat="1" applyFont="1" applyBorder="1" applyAlignment="1">
      <alignment horizontal="right" vertical="center"/>
    </xf>
    <xf numFmtId="168" fontId="9" fillId="0" borderId="1" xfId="1" applyNumberFormat="1" applyFont="1" applyBorder="1" applyAlignment="1">
      <alignment horizontal="right"/>
    </xf>
    <xf numFmtId="168" fontId="10" fillId="0" borderId="1" xfId="1" applyNumberFormat="1" applyFont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8" fontId="10" fillId="0" borderId="1" xfId="0" applyNumberFormat="1" applyFont="1" applyBorder="1"/>
    <xf numFmtId="4" fontId="13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left" wrapText="1"/>
    </xf>
    <xf numFmtId="4" fontId="16" fillId="0" borderId="1" xfId="0" applyNumberFormat="1" applyFont="1" applyFill="1" applyBorder="1" applyAlignment="1">
      <alignment horizontal="right" wrapText="1"/>
    </xf>
    <xf numFmtId="0" fontId="36" fillId="0" borderId="1" xfId="0" applyFont="1" applyBorder="1" applyAlignment="1">
      <alignment vertical="top" wrapText="1"/>
    </xf>
    <xf numFmtId="169" fontId="26" fillId="0" borderId="1" xfId="1" applyNumberFormat="1" applyFont="1" applyBorder="1" applyAlignment="1">
      <alignment horizontal="right"/>
    </xf>
    <xf numFmtId="0" fontId="49" fillId="0" borderId="1" xfId="0" applyFont="1" applyBorder="1" applyAlignment="1">
      <alignment vertical="top" wrapText="1"/>
    </xf>
    <xf numFmtId="0" fontId="49" fillId="3" borderId="1" xfId="0" applyFont="1" applyFill="1" applyBorder="1" applyAlignment="1">
      <alignment vertical="top" wrapText="1"/>
    </xf>
    <xf numFmtId="0" fontId="50" fillId="0" borderId="1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49" fontId="49" fillId="0" borderId="1" xfId="0" applyNumberFormat="1" applyFont="1" applyBorder="1" applyAlignment="1">
      <alignment vertical="top" wrapText="1"/>
    </xf>
    <xf numFmtId="165" fontId="49" fillId="0" borderId="1" xfId="1" applyNumberFormat="1" applyFont="1" applyBorder="1" applyAlignment="1">
      <alignment vertical="top" wrapText="1"/>
    </xf>
    <xf numFmtId="4" fontId="49" fillId="0" borderId="1" xfId="1" applyNumberFormat="1" applyFont="1" applyBorder="1"/>
    <xf numFmtId="4" fontId="49" fillId="0" borderId="1" xfId="1" applyNumberFormat="1" applyFont="1" applyFill="1" applyBorder="1"/>
    <xf numFmtId="0" fontId="20" fillId="2" borderId="1" xfId="0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top" wrapText="1"/>
    </xf>
    <xf numFmtId="4" fontId="20" fillId="2" borderId="1" xfId="1" applyNumberFormat="1" applyFont="1" applyFill="1" applyBorder="1" applyAlignment="1">
      <alignment horizontal="right"/>
    </xf>
    <xf numFmtId="167" fontId="34" fillId="2" borderId="1" xfId="1" applyNumberFormat="1" applyFont="1" applyFill="1" applyBorder="1" applyAlignment="1">
      <alignment horizontal="right"/>
    </xf>
    <xf numFmtId="0" fontId="20" fillId="2" borderId="1" xfId="0" applyFont="1" applyFill="1" applyBorder="1"/>
    <xf numFmtId="0" fontId="20" fillId="2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0" fillId="2" borderId="2" xfId="0" quotePrefix="1" applyFont="1" applyFill="1" applyBorder="1" applyAlignment="1">
      <alignment horizontal="center"/>
    </xf>
    <xf numFmtId="0" fontId="20" fillId="2" borderId="1" xfId="0" quotePrefix="1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27" fillId="2" borderId="1" xfId="0" applyFont="1" applyFill="1" applyBorder="1" applyAlignment="1">
      <alignment vertical="center"/>
    </xf>
    <xf numFmtId="0" fontId="48" fillId="2" borderId="1" xfId="0" applyFont="1" applyFill="1" applyBorder="1" applyAlignment="1">
      <alignment vertical="top" wrapText="1"/>
    </xf>
    <xf numFmtId="4" fontId="27" fillId="2" borderId="1" xfId="0" applyNumberFormat="1" applyFont="1" applyFill="1" applyBorder="1" applyAlignment="1">
      <alignment horizontal="right"/>
    </xf>
    <xf numFmtId="4" fontId="48" fillId="2" borderId="1" xfId="0" applyNumberFormat="1" applyFont="1" applyFill="1" applyBorder="1" applyAlignment="1">
      <alignment horizontal="right"/>
    </xf>
    <xf numFmtId="169" fontId="26" fillId="2" borderId="1" xfId="1" applyNumberFormat="1" applyFont="1" applyFill="1" applyBorder="1" applyAlignment="1">
      <alignment horizontal="right"/>
    </xf>
    <xf numFmtId="4" fontId="27" fillId="2" borderId="1" xfId="1" applyNumberFormat="1" applyFont="1" applyFill="1" applyBorder="1"/>
    <xf numFmtId="4" fontId="48" fillId="2" borderId="1" xfId="1" applyNumberFormat="1" applyFont="1" applyFill="1" applyBorder="1"/>
    <xf numFmtId="165" fontId="48" fillId="2" borderId="1" xfId="1" applyNumberFormat="1" applyFont="1" applyFill="1" applyBorder="1" applyAlignment="1">
      <alignment vertical="top" wrapText="1"/>
    </xf>
    <xf numFmtId="4" fontId="49" fillId="2" borderId="1" xfId="1" applyNumberFormat="1" applyFont="1" applyFill="1" applyBorder="1"/>
    <xf numFmtId="4" fontId="15" fillId="2" borderId="1" xfId="1" applyNumberFormat="1" applyFont="1" applyFill="1" applyBorder="1"/>
    <xf numFmtId="169" fontId="33" fillId="2" borderId="1" xfId="1" applyNumberFormat="1" applyFont="1" applyFill="1" applyBorder="1" applyAlignment="1">
      <alignment horizontal="right"/>
    </xf>
    <xf numFmtId="4" fontId="32" fillId="2" borderId="1" xfId="1" applyNumberFormat="1" applyFont="1" applyFill="1" applyBorder="1"/>
    <xf numFmtId="169" fontId="45" fillId="2" borderId="1" xfId="1" applyNumberFormat="1" applyFont="1" applyFill="1" applyBorder="1" applyAlignment="1">
      <alignment horizontal="right"/>
    </xf>
    <xf numFmtId="167" fontId="12" fillId="0" borderId="1" xfId="0" applyNumberFormat="1" applyFont="1" applyBorder="1" applyAlignment="1">
      <alignment horizontal="right" vertical="center"/>
    </xf>
    <xf numFmtId="167" fontId="24" fillId="0" borderId="1" xfId="0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vertical="center"/>
    </xf>
    <xf numFmtId="0" fontId="52" fillId="0" borderId="0" xfId="0" applyFont="1"/>
    <xf numFmtId="43" fontId="52" fillId="0" borderId="0" xfId="1" applyFont="1"/>
    <xf numFmtId="164" fontId="52" fillId="0" borderId="0" xfId="1" applyNumberFormat="1" applyFont="1"/>
    <xf numFmtId="0" fontId="52" fillId="0" borderId="1" xfId="0" applyFont="1" applyBorder="1" applyAlignment="1">
      <alignment horizontal="center"/>
    </xf>
    <xf numFmtId="0" fontId="52" fillId="0" borderId="1" xfId="0" applyFont="1" applyBorder="1"/>
    <xf numFmtId="43" fontId="52" fillId="0" borderId="1" xfId="1" applyFont="1" applyBorder="1"/>
    <xf numFmtId="164" fontId="52" fillId="0" borderId="1" xfId="1" applyNumberFormat="1" applyFont="1" applyBorder="1"/>
    <xf numFmtId="0" fontId="54" fillId="0" borderId="1" xfId="0" applyNumberFormat="1" applyFont="1" applyBorder="1" applyAlignment="1">
      <alignment horizontal="center"/>
    </xf>
    <xf numFmtId="0" fontId="54" fillId="0" borderId="1" xfId="1" applyNumberFormat="1" applyFont="1" applyBorder="1" applyAlignment="1">
      <alignment horizontal="center"/>
    </xf>
    <xf numFmtId="0" fontId="55" fillId="0" borderId="1" xfId="0" quotePrefix="1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/>
    </xf>
    <xf numFmtId="0" fontId="52" fillId="0" borderId="1" xfId="0" quotePrefix="1" applyFont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top"/>
    </xf>
    <xf numFmtId="0" fontId="52" fillId="0" borderId="1" xfId="0" applyFont="1" applyFill="1" applyBorder="1" applyAlignment="1">
      <alignment wrapText="1"/>
    </xf>
    <xf numFmtId="0" fontId="32" fillId="0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165" fontId="28" fillId="0" borderId="1" xfId="1" applyNumberFormat="1" applyFont="1" applyBorder="1" applyAlignment="1">
      <alignment vertical="top"/>
    </xf>
    <xf numFmtId="0" fontId="28" fillId="0" borderId="1" xfId="0" applyFont="1" applyBorder="1" applyAlignment="1">
      <alignment wrapText="1"/>
    </xf>
    <xf numFmtId="165" fontId="32" fillId="0" borderId="1" xfId="1" applyNumberFormat="1" applyFont="1" applyBorder="1" applyAlignment="1">
      <alignment vertical="top"/>
    </xf>
    <xf numFmtId="0" fontId="52" fillId="0" borderId="1" xfId="0" applyFont="1" applyBorder="1" applyAlignment="1">
      <alignment wrapText="1"/>
    </xf>
    <xf numFmtId="0" fontId="28" fillId="0" borderId="1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0" fontId="28" fillId="0" borderId="1" xfId="0" applyFont="1" applyBorder="1"/>
    <xf numFmtId="0" fontId="28" fillId="0" borderId="1" xfId="0" applyFont="1" applyFill="1" applyBorder="1" applyAlignment="1">
      <alignment wrapText="1"/>
    </xf>
    <xf numFmtId="0" fontId="32" fillId="0" borderId="1" xfId="0" applyFont="1" applyBorder="1" applyAlignment="1">
      <alignment vertical="top"/>
    </xf>
    <xf numFmtId="0" fontId="28" fillId="0" borderId="1" xfId="0" applyFont="1" applyBorder="1" applyAlignment="1">
      <alignment vertical="top"/>
    </xf>
    <xf numFmtId="0" fontId="52" fillId="0" borderId="4" xfId="0" applyFont="1" applyBorder="1" applyAlignment="1">
      <alignment horizontal="center"/>
    </xf>
    <xf numFmtId="49" fontId="28" fillId="0" borderId="1" xfId="0" applyNumberFormat="1" applyFont="1" applyBorder="1" applyAlignment="1">
      <alignment vertical="top" wrapText="1"/>
    </xf>
    <xf numFmtId="0" fontId="28" fillId="0" borderId="1" xfId="0" applyFont="1" applyBorder="1" applyAlignment="1">
      <alignment horizontal="left" wrapText="1"/>
    </xf>
    <xf numFmtId="167" fontId="56" fillId="0" borderId="1" xfId="1" applyNumberFormat="1" applyFont="1" applyBorder="1"/>
    <xf numFmtId="167" fontId="54" fillId="0" borderId="1" xfId="1" applyNumberFormat="1" applyFont="1" applyBorder="1"/>
    <xf numFmtId="168" fontId="55" fillId="0" borderId="1" xfId="1" applyNumberFormat="1" applyFont="1" applyBorder="1"/>
    <xf numFmtId="168" fontId="52" fillId="0" borderId="1" xfId="1" applyNumberFormat="1" applyFont="1" applyBorder="1"/>
    <xf numFmtId="4" fontId="25" fillId="0" borderId="0" xfId="0" applyNumberFormat="1" applyFont="1"/>
    <xf numFmtId="0" fontId="57" fillId="0" borderId="0" xfId="0" applyFont="1"/>
    <xf numFmtId="4" fontId="57" fillId="0" borderId="0" xfId="0" applyNumberFormat="1" applyFont="1"/>
    <xf numFmtId="4" fontId="19" fillId="0" borderId="0" xfId="0" applyNumberFormat="1" applyFont="1" applyFill="1"/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7" fillId="2" borderId="8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3" fontId="15" fillId="0" borderId="2" xfId="0" applyNumberFormat="1" applyFont="1" applyFill="1" applyBorder="1" applyAlignment="1">
      <alignment horizontal="center" vertical="center" wrapText="1"/>
    </xf>
    <xf numFmtId="43" fontId="15" fillId="0" borderId="5" xfId="0" applyNumberFormat="1" applyFont="1" applyFill="1" applyBorder="1" applyAlignment="1">
      <alignment horizontal="center" vertical="center" wrapText="1"/>
    </xf>
    <xf numFmtId="43" fontId="15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0" fillId="2" borderId="8" xfId="0" applyFont="1" applyFill="1" applyBorder="1" applyAlignment="1">
      <alignment horizontal="left"/>
    </xf>
    <xf numFmtId="0" fontId="20" fillId="2" borderId="6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43" fontId="2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top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3" fontId="11" fillId="0" borderId="0" xfId="0" applyNumberFormat="1" applyFont="1" applyBorder="1" applyAlignment="1">
      <alignment horizontal="right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0" fillId="0" borderId="0" xfId="0" applyFont="1" applyAlignment="1">
      <alignment horizontal="center" vertical="top" wrapText="1"/>
    </xf>
    <xf numFmtId="0" fontId="27" fillId="0" borderId="1" xfId="0" applyFont="1" applyBorder="1" applyAlignment="1">
      <alignment horizontal="center"/>
    </xf>
    <xf numFmtId="0" fontId="35" fillId="0" borderId="0" xfId="0" applyFont="1" applyFill="1" applyAlignment="1">
      <alignment horizontal="center" vertical="top" wrapText="1"/>
    </xf>
    <xf numFmtId="0" fontId="15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35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0" fontId="52" fillId="0" borderId="1" xfId="0" quotePrefix="1" applyFont="1" applyBorder="1" applyAlignment="1">
      <alignment horizontal="center"/>
    </xf>
    <xf numFmtId="0" fontId="52" fillId="0" borderId="2" xfId="0" quotePrefix="1" applyFont="1" applyBorder="1" applyAlignment="1">
      <alignment horizontal="center"/>
    </xf>
    <xf numFmtId="0" fontId="52" fillId="0" borderId="5" xfId="0" quotePrefix="1" applyFont="1" applyBorder="1" applyAlignment="1">
      <alignment horizontal="center"/>
    </xf>
    <xf numFmtId="0" fontId="52" fillId="0" borderId="4" xfId="0" quotePrefix="1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35" fillId="0" borderId="0" xfId="0" applyFont="1" applyAlignment="1">
      <alignment horizontal="center" wrapText="1"/>
    </xf>
    <xf numFmtId="0" fontId="27" fillId="0" borderId="20" xfId="0" applyFont="1" applyBorder="1" applyAlignment="1">
      <alignment horizontal="center"/>
    </xf>
    <xf numFmtId="0" fontId="58" fillId="0" borderId="0" xfId="0" applyFont="1"/>
    <xf numFmtId="0" fontId="59" fillId="0" borderId="0" xfId="0" applyFont="1" applyAlignment="1">
      <alignment horizontal="center" wrapText="1"/>
    </xf>
    <xf numFmtId="0" fontId="61" fillId="0" borderId="2" xfId="2" applyFont="1" applyBorder="1"/>
    <xf numFmtId="0" fontId="58" fillId="0" borderId="2" xfId="0" applyFont="1" applyBorder="1"/>
    <xf numFmtId="0" fontId="60" fillId="0" borderId="4" xfId="2" applyBorder="1"/>
    <xf numFmtId="0" fontId="61" fillId="0" borderId="4" xfId="2" applyFont="1" applyBorder="1"/>
    <xf numFmtId="0" fontId="58" fillId="0" borderId="4" xfId="0" applyFont="1" applyBorder="1"/>
    <xf numFmtId="0" fontId="58" fillId="0" borderId="1" xfId="0" applyFont="1" applyBorder="1"/>
    <xf numFmtId="43" fontId="62" fillId="0" borderId="1" xfId="1" applyNumberFormat="1" applyFont="1" applyBorder="1"/>
    <xf numFmtId="43" fontId="63" fillId="0" borderId="1" xfId="1" applyFont="1" applyBorder="1"/>
    <xf numFmtId="0" fontId="63" fillId="0" borderId="1" xfId="0" applyFont="1" applyBorder="1"/>
    <xf numFmtId="43" fontId="62" fillId="0" borderId="1" xfId="1" applyFont="1" applyBorder="1"/>
  </cellXfs>
  <cellStyles count="3">
    <cellStyle name="Dziesiętny" xfId="1" builtinId="3"/>
    <cellStyle name="Normalny" xfId="0" builtinId="0"/>
    <cellStyle name="Normalny 2" xfId="2"/>
  </cellStyles>
  <dxfs count="0"/>
  <tableStyles count="0" defaultTableStyle="TableStyleMedium9" defaultPivotStyle="PivotStyleLight16"/>
  <colors>
    <mruColors>
      <color rgb="FF561F1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400"/>
              <a:t>Wykonanie dochodów Powiatu Białogardzkiego w 2011 roku</a:t>
            </a:r>
          </a:p>
        </c:rich>
      </c:tx>
      <c:layout>
        <c:manualLayout>
          <c:xMode val="edge"/>
          <c:yMode val="edge"/>
          <c:x val="0.16517428605006471"/>
          <c:y val="2.5171624713958809E-2"/>
        </c:manualLayout>
      </c:layout>
      <c:spPr>
        <a:noFill/>
        <a:ln w="25400">
          <a:noFill/>
        </a:ln>
      </c:spPr>
    </c:title>
    <c:view3D>
      <c:hPercent val="149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  <a:tileRect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53745374989611"/>
          <c:y val="7.0752830701325833E-2"/>
          <c:w val="0.65933218651568215"/>
          <c:h val="0.85830945397584968"/>
        </c:manualLayout>
      </c:layout>
      <c:bar3DChart>
        <c:barDir val="col"/>
        <c:grouping val="clustered"/>
        <c:ser>
          <c:idx val="0"/>
          <c:order val="0"/>
          <c:tx>
            <c:v>Plan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'wykres dochodów'!$A$3:$A$18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600</c:v>
                </c:pt>
                <c:pt idx="3">
                  <c:v>700</c:v>
                </c:pt>
                <c:pt idx="4">
                  <c:v>710</c:v>
                </c:pt>
                <c:pt idx="5">
                  <c:v>750</c:v>
                </c:pt>
                <c:pt idx="6">
                  <c:v>754</c:v>
                </c:pt>
                <c:pt idx="7">
                  <c:v>756</c:v>
                </c:pt>
                <c:pt idx="8">
                  <c:v>758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900</c:v>
                </c:pt>
                <c:pt idx="15">
                  <c:v>921</c:v>
                </c:pt>
              </c:strCache>
            </c:strRef>
          </c:cat>
          <c:val>
            <c:numRef>
              <c:f>'wykres dochodów'!$B$3:$B$18</c:f>
              <c:numCache>
                <c:formatCode>_-* #,##0\ _z_ł_-;\-* #,##0\ _z_ł_-;_-* "-"??\ _z_ł_-;_-@_-</c:formatCode>
                <c:ptCount val="16"/>
                <c:pt idx="0">
                  <c:v>61535</c:v>
                </c:pt>
                <c:pt idx="1">
                  <c:v>282765.28000000003</c:v>
                </c:pt>
                <c:pt idx="2">
                  <c:v>2961501.51</c:v>
                </c:pt>
                <c:pt idx="3">
                  <c:v>286680.03999999998</c:v>
                </c:pt>
                <c:pt idx="4">
                  <c:v>1040801.61</c:v>
                </c:pt>
                <c:pt idx="5">
                  <c:v>190889.76</c:v>
                </c:pt>
                <c:pt idx="6">
                  <c:v>3141638.7</c:v>
                </c:pt>
                <c:pt idx="7">
                  <c:v>6376309</c:v>
                </c:pt>
                <c:pt idx="8">
                  <c:v>27846036.18</c:v>
                </c:pt>
                <c:pt idx="9">
                  <c:v>841648.72</c:v>
                </c:pt>
                <c:pt idx="10">
                  <c:v>2483622.6800000002</c:v>
                </c:pt>
                <c:pt idx="11">
                  <c:v>5413501.7199999997</c:v>
                </c:pt>
                <c:pt idx="12">
                  <c:v>2649353.5</c:v>
                </c:pt>
                <c:pt idx="13">
                  <c:v>151979</c:v>
                </c:pt>
                <c:pt idx="14">
                  <c:v>71200</c:v>
                </c:pt>
                <c:pt idx="15">
                  <c:v>4820</c:v>
                </c:pt>
              </c:numCache>
            </c:numRef>
          </c:val>
        </c:ser>
        <c:ser>
          <c:idx val="1"/>
          <c:order val="1"/>
          <c:tx>
            <c:v>Wykonanie</c:v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'wykres dochodów'!$A$3:$A$18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600</c:v>
                </c:pt>
                <c:pt idx="3">
                  <c:v>700</c:v>
                </c:pt>
                <c:pt idx="4">
                  <c:v>710</c:v>
                </c:pt>
                <c:pt idx="5">
                  <c:v>750</c:v>
                </c:pt>
                <c:pt idx="6">
                  <c:v>754</c:v>
                </c:pt>
                <c:pt idx="7">
                  <c:v>756</c:v>
                </c:pt>
                <c:pt idx="8">
                  <c:v>758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900</c:v>
                </c:pt>
                <c:pt idx="15">
                  <c:v>921</c:v>
                </c:pt>
              </c:strCache>
            </c:strRef>
          </c:cat>
          <c:val>
            <c:numRef>
              <c:f>'wykres dochodów'!$C$3:$C$18</c:f>
              <c:numCache>
                <c:formatCode>_-* #,##0.00\ _z_ł_-;\-* #,##0.00\ _z_ł_-;_-* "-"??\ _z_ł_-;_-@_-</c:formatCode>
                <c:ptCount val="16"/>
                <c:pt idx="0">
                  <c:v>61369</c:v>
                </c:pt>
                <c:pt idx="1">
                  <c:v>263191.59000000003</c:v>
                </c:pt>
                <c:pt idx="2">
                  <c:v>2876540.27</c:v>
                </c:pt>
                <c:pt idx="3">
                  <c:v>311684.32</c:v>
                </c:pt>
                <c:pt idx="4">
                  <c:v>1087235.22</c:v>
                </c:pt>
                <c:pt idx="5">
                  <c:v>198658.7</c:v>
                </c:pt>
                <c:pt idx="6">
                  <c:v>3143187.76</c:v>
                </c:pt>
                <c:pt idx="7">
                  <c:v>6495027.4199999999</c:v>
                </c:pt>
                <c:pt idx="8">
                  <c:v>27852484.870000001</c:v>
                </c:pt>
                <c:pt idx="9">
                  <c:v>862889.09</c:v>
                </c:pt>
                <c:pt idx="10">
                  <c:v>2483409.09</c:v>
                </c:pt>
                <c:pt idx="11">
                  <c:v>5433070.7699999996</c:v>
                </c:pt>
                <c:pt idx="12">
                  <c:v>2643150.86</c:v>
                </c:pt>
                <c:pt idx="13">
                  <c:v>181352.46</c:v>
                </c:pt>
                <c:pt idx="14">
                  <c:v>70996.679999999993</c:v>
                </c:pt>
                <c:pt idx="15">
                  <c:v>4820</c:v>
                </c:pt>
              </c:numCache>
            </c:numRef>
          </c:val>
        </c:ser>
        <c:shape val="box"/>
        <c:axId val="80999168"/>
        <c:axId val="81001472"/>
        <c:axId val="0"/>
      </c:bar3DChart>
      <c:catAx>
        <c:axId val="8099916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1001472"/>
        <c:crosses val="autoZero"/>
        <c:auto val="1"/>
        <c:lblAlgn val="ctr"/>
        <c:lblOffset val="100"/>
        <c:tickLblSkip val="1"/>
        <c:tickMarkSkip val="1"/>
      </c:catAx>
      <c:valAx>
        <c:axId val="81001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\ _z_ł_-;\-* #,##0\ _z_ł_-;_-* &quot;-&quot;??\ _z_ł_-;_-@_-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099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41752305920644"/>
          <c:y val="0.9064248800653818"/>
          <c:w val="0.19824704541414898"/>
          <c:h val="4.46224505587025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Footer>&amp;RWykres dochodów Powiatu Białogardzkiego w 2011r.</c:oddFooter>
    </c:headerFooter>
    <c:pageMargins b="0.98425196850393659" l="0.74803149606300412" r="0.15748031496063228" t="0.98425196850393659" header="0.51181102362204722" footer="0.51181102362204722"/>
    <c:pageSetup paperSize="9" orientation="portrait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/>
              <a:t>Wykonanie wydatków Powiatu Białogardzkiego w 2011 r.</a:t>
            </a:r>
          </a:p>
        </c:rich>
      </c:tx>
      <c:layout>
        <c:manualLayout>
          <c:xMode val="edge"/>
          <c:yMode val="edge"/>
          <c:x val="0.2518614756488779"/>
          <c:y val="2.5531972682519298E-2"/>
        </c:manualLayout>
      </c:layout>
      <c:spPr>
        <a:noFill/>
        <a:ln w="25400">
          <a:noFill/>
        </a:ln>
      </c:spPr>
    </c:title>
    <c:view3D>
      <c:hPercent val="141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111125692621759"/>
          <c:y val="7.6595813583003616E-2"/>
          <c:w val="0.72148252529300538"/>
          <c:h val="0.83936213813274785"/>
        </c:manualLayout>
      </c:layout>
      <c:bar3DChart>
        <c:barDir val="col"/>
        <c:grouping val="clustered"/>
        <c:ser>
          <c:idx val="0"/>
          <c:order val="0"/>
          <c:tx>
            <c:v>Plan</c:v>
          </c:tx>
          <c:spPr>
            <a:solidFill>
              <a:schemeClr val="accent4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'wykres wydatków'!$A$2:$A$77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600</c:v>
                </c:pt>
                <c:pt idx="3">
                  <c:v>700</c:v>
                </c:pt>
                <c:pt idx="4">
                  <c:v>710</c:v>
                </c:pt>
                <c:pt idx="5">
                  <c:v>750</c:v>
                </c:pt>
                <c:pt idx="6">
                  <c:v>754</c:v>
                </c:pt>
                <c:pt idx="7">
                  <c:v>757</c:v>
                </c:pt>
                <c:pt idx="8">
                  <c:v>758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921</c:v>
                </c:pt>
                <c:pt idx="15">
                  <c:v>926</c:v>
                </c:pt>
              </c:strCache>
            </c:strRef>
          </c:cat>
          <c:val>
            <c:numRef>
              <c:f>'wykres wydatków'!$D$2:$D$77</c:f>
              <c:numCache>
                <c:formatCode>_-* #,##0\ _z_ł_-;\-* #,##0\ _z_ł_-;_-* "-"??\ _z_ł_-;_-@_-</c:formatCode>
                <c:ptCount val="16"/>
                <c:pt idx="0">
                  <c:v>50325</c:v>
                </c:pt>
                <c:pt idx="1">
                  <c:v>311973.09999999998</c:v>
                </c:pt>
                <c:pt idx="2">
                  <c:v>6771728.0300000003</c:v>
                </c:pt>
                <c:pt idx="3">
                  <c:v>229027</c:v>
                </c:pt>
                <c:pt idx="4">
                  <c:v>415428.18</c:v>
                </c:pt>
                <c:pt idx="5">
                  <c:v>6813906.29</c:v>
                </c:pt>
                <c:pt idx="6">
                  <c:v>3279843</c:v>
                </c:pt>
                <c:pt idx="7">
                  <c:v>943000</c:v>
                </c:pt>
                <c:pt idx="8">
                  <c:v>11957.14</c:v>
                </c:pt>
                <c:pt idx="9">
                  <c:v>15883555.970000001</c:v>
                </c:pt>
                <c:pt idx="10">
                  <c:v>5928992.1200000001</c:v>
                </c:pt>
                <c:pt idx="11">
                  <c:v>10604137.859999999</c:v>
                </c:pt>
                <c:pt idx="12">
                  <c:v>3860441.03</c:v>
                </c:pt>
                <c:pt idx="13">
                  <c:v>5873265.3200000003</c:v>
                </c:pt>
                <c:pt idx="14">
                  <c:v>162800</c:v>
                </c:pt>
                <c:pt idx="15">
                  <c:v>1118342.9099999999</c:v>
                </c:pt>
              </c:numCache>
            </c:numRef>
          </c:val>
        </c:ser>
        <c:ser>
          <c:idx val="1"/>
          <c:order val="1"/>
          <c:tx>
            <c:v>Wykonanie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'wykres wydatków'!$A$2:$A$77</c:f>
              <c:strCache>
                <c:ptCount val="16"/>
                <c:pt idx="0">
                  <c:v>010</c:v>
                </c:pt>
                <c:pt idx="1">
                  <c:v>020</c:v>
                </c:pt>
                <c:pt idx="2">
                  <c:v>600</c:v>
                </c:pt>
                <c:pt idx="3">
                  <c:v>700</c:v>
                </c:pt>
                <c:pt idx="4">
                  <c:v>710</c:v>
                </c:pt>
                <c:pt idx="5">
                  <c:v>750</c:v>
                </c:pt>
                <c:pt idx="6">
                  <c:v>754</c:v>
                </c:pt>
                <c:pt idx="7">
                  <c:v>757</c:v>
                </c:pt>
                <c:pt idx="8">
                  <c:v>758</c:v>
                </c:pt>
                <c:pt idx="9">
                  <c:v>801</c:v>
                </c:pt>
                <c:pt idx="10">
                  <c:v>851</c:v>
                </c:pt>
                <c:pt idx="11">
                  <c:v>852</c:v>
                </c:pt>
                <c:pt idx="12">
                  <c:v>853</c:v>
                </c:pt>
                <c:pt idx="13">
                  <c:v>854</c:v>
                </c:pt>
                <c:pt idx="14">
                  <c:v>921</c:v>
                </c:pt>
                <c:pt idx="15">
                  <c:v>926</c:v>
                </c:pt>
              </c:strCache>
            </c:strRef>
          </c:cat>
          <c:val>
            <c:numRef>
              <c:f>'wykres wydatków'!$E$2:$E$77</c:f>
              <c:numCache>
                <c:formatCode>_-* #,##0\ _z_ł_-;\-* #,##0\ _z_ł_-;_-* "-"??\ _z_ł_-;_-@_-</c:formatCode>
                <c:ptCount val="16"/>
                <c:pt idx="0">
                  <c:v>50159</c:v>
                </c:pt>
                <c:pt idx="1">
                  <c:v>278950.84999999998</c:v>
                </c:pt>
                <c:pt idx="2">
                  <c:v>6605817.2699999996</c:v>
                </c:pt>
                <c:pt idx="3">
                  <c:v>210550.13</c:v>
                </c:pt>
                <c:pt idx="4">
                  <c:v>415270.58</c:v>
                </c:pt>
                <c:pt idx="5">
                  <c:v>6555659.2599999998</c:v>
                </c:pt>
                <c:pt idx="6">
                  <c:v>3172793.71</c:v>
                </c:pt>
                <c:pt idx="7">
                  <c:v>917930.66</c:v>
                </c:pt>
                <c:pt idx="9">
                  <c:v>15682257.550000001</c:v>
                </c:pt>
                <c:pt idx="10">
                  <c:v>5907257.4400000004</c:v>
                </c:pt>
                <c:pt idx="11">
                  <c:v>10538600.359999999</c:v>
                </c:pt>
                <c:pt idx="12">
                  <c:v>3839703.99</c:v>
                </c:pt>
                <c:pt idx="13">
                  <c:v>5806791.3899999997</c:v>
                </c:pt>
                <c:pt idx="14">
                  <c:v>157065.91</c:v>
                </c:pt>
                <c:pt idx="15">
                  <c:v>1105488.52</c:v>
                </c:pt>
              </c:numCache>
            </c:numRef>
          </c:val>
        </c:ser>
        <c:shape val="box"/>
        <c:axId val="78905728"/>
        <c:axId val="78907264"/>
        <c:axId val="0"/>
      </c:bar3DChart>
      <c:catAx>
        <c:axId val="789057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78907264"/>
        <c:crosses val="autoZero"/>
        <c:auto val="1"/>
        <c:lblAlgn val="ctr"/>
        <c:lblOffset val="100"/>
        <c:tickLblSkip val="1"/>
        <c:tickMarkSkip val="1"/>
      </c:catAx>
      <c:valAx>
        <c:axId val="78907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\ _z_ł_-;\-* #,##0\ _z_ł_-;_-* &quot;-&quot;??\ _z_ł_-;_-@_-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78905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3780230926705939E-2"/>
          <c:y val="0.94365742202051872"/>
          <c:w val="0.36136927171832872"/>
          <c:h val="4.43785101076883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Footer>&amp;R&amp;7Wykres wydatków Powiatu Białogardzkiego w I półroczu 2010r.</c:oddFooter>
    </c:headerFooter>
    <c:pageMargins b="1" l="0.18000000000000024" r="0.22" t="1" header="0.5" footer="0.5"/>
    <c:pageSetup paperSize="9" orientation="portrait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8.5706667995614577E-2"/>
          <c:y val="0.15298325932677004"/>
          <c:w val="0.82858666400877101"/>
          <c:h val="0.70480050020665319"/>
        </c:manualLayout>
      </c:layout>
      <c:doughnutChart>
        <c:varyColors val="1"/>
        <c:ser>
          <c:idx val="0"/>
          <c:order val="0"/>
          <c:explosion val="4"/>
          <c:dLbls>
            <c:dLbl>
              <c:idx val="1"/>
              <c:layout>
                <c:manualLayout>
                  <c:x val="0.11814345991561195"/>
                  <c:y val="-0.10727969348659017"/>
                </c:manualLayout>
              </c:layout>
              <c:showCatName val="1"/>
            </c:dLbl>
            <c:dLbl>
              <c:idx val="2"/>
              <c:layout>
                <c:manualLayout>
                  <c:x val="0.12869198312236307"/>
                  <c:y val="-3.2641875351045485E-2"/>
                </c:manualLayout>
              </c:layout>
              <c:showCatName val="1"/>
            </c:dLbl>
            <c:dLbl>
              <c:idx val="4"/>
              <c:layout>
                <c:manualLayout>
                  <c:x val="-0.1371308016877637"/>
                  <c:y val="8.8365037815764283E-2"/>
                </c:manualLayout>
              </c:layout>
              <c:showCatName val="1"/>
            </c:dLbl>
            <c:dLbl>
              <c:idx val="5"/>
              <c:layout>
                <c:manualLayout>
                  <c:x val="-0.12869198312236307"/>
                  <c:y val="6.3679980783021228E-2"/>
                </c:manualLayout>
              </c:layout>
              <c:showCatName val="1"/>
            </c:dLbl>
            <c:dLbl>
              <c:idx val="8"/>
              <c:layout>
                <c:manualLayout>
                  <c:x val="-4.2194092827004294E-3"/>
                  <c:y val="-0.11685823754789262"/>
                </c:manualLayout>
              </c:layout>
              <c:showCatName val="1"/>
            </c:dLbl>
            <c:showCatName val="1"/>
            <c:showLeaderLines val="1"/>
          </c:dLbls>
          <c:cat>
            <c:strRef>
              <c:f>Arkusz1!$A$5:$A$13</c:f>
              <c:strCache>
                <c:ptCount val="9"/>
                <c:pt idx="0">
                  <c:v>Wydatki na inwestycje i zakupy inwestycyjne</c:v>
                </c:pt>
                <c:pt idx="1">
                  <c:v>Wydatki majątkowe na zadania finansowane środkami zewnętrznymi</c:v>
                </c:pt>
                <c:pt idx="2">
                  <c:v>Dotacje na zadania inwestycyjne </c:v>
                </c:pt>
                <c:pt idx="3">
                  <c:v>Wynagrodzenia i pochodne od wynagrodzeń</c:v>
                </c:pt>
                <c:pt idx="4">
                  <c:v>Świadczenia na  rzecz osób fizycznych</c:v>
                </c:pt>
                <c:pt idx="5">
                  <c:v>Obsługa długu</c:v>
                </c:pt>
                <c:pt idx="6">
                  <c:v>Wydatki na zadania statutowe</c:v>
                </c:pt>
                <c:pt idx="7">
                  <c:v>Dotacje na zadania bieżące</c:v>
                </c:pt>
                <c:pt idx="8">
                  <c:v>Wydatki bieżące na zadania finansowane środkami zewnętrznymi</c:v>
                </c:pt>
              </c:strCache>
            </c:strRef>
          </c:cat>
          <c:val>
            <c:numRef>
              <c:f>Arkusz1!$B$5:$B$13</c:f>
              <c:numCache>
                <c:formatCode>#,##0.00</c:formatCode>
                <c:ptCount val="9"/>
                <c:pt idx="0">
                  <c:v>7912631.9300000006</c:v>
                </c:pt>
                <c:pt idx="1">
                  <c:v>764280.47</c:v>
                </c:pt>
                <c:pt idx="2" formatCode="General">
                  <c:v>1397226.45</c:v>
                </c:pt>
                <c:pt idx="3">
                  <c:v>25238693.229999993</c:v>
                </c:pt>
                <c:pt idx="4">
                  <c:v>2372243.4700000002</c:v>
                </c:pt>
                <c:pt idx="5">
                  <c:v>917930.66</c:v>
                </c:pt>
                <c:pt idx="6">
                  <c:v>12819671.020000001</c:v>
                </c:pt>
                <c:pt idx="7">
                  <c:v>8408104.0700000003</c:v>
                </c:pt>
                <c:pt idx="8">
                  <c:v>1413515.32</c:v>
                </c:pt>
              </c:numCache>
            </c:numRef>
          </c:val>
        </c:ser>
        <c:firstSliceAng val="0"/>
        <c:holeSize val="50"/>
      </c:doughnut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9</xdr:col>
      <xdr:colOff>3905249</xdr:colOff>
      <xdr:row>84</xdr:row>
      <xdr:rowOff>15874</xdr:rowOff>
    </xdr:to>
    <xdr:graphicFrame macro="">
      <xdr:nvGraphicFramePr>
        <xdr:cNvPr id="512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8</xdr:col>
      <xdr:colOff>838200</xdr:colOff>
      <xdr:row>90</xdr:row>
      <xdr:rowOff>133350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0</xdr:rowOff>
    </xdr:from>
    <xdr:to>
      <xdr:col>4</xdr:col>
      <xdr:colOff>619125</xdr:colOff>
      <xdr:row>47</xdr:row>
      <xdr:rowOff>114300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TBRD_5/Moje%20dokumenty/bud&#380;et%202010/Tabele2010nowestycze&#32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1"/>
      <sheetName val="wykres1"/>
      <sheetName val="tab 2"/>
      <sheetName val="wykres2"/>
      <sheetName val="tab3"/>
      <sheetName val="tab 4"/>
      <sheetName val="tab 5"/>
      <sheetName val="tab 6"/>
      <sheetName val="tab 7-8"/>
      <sheetName val="tab 9-10"/>
      <sheetName val="tab11"/>
      <sheetName val="tab12"/>
      <sheetName val="tab13"/>
      <sheetName val="tab14"/>
      <sheetName val="zał 15"/>
      <sheetName val="zał1"/>
      <sheetName val="zał2"/>
      <sheetName val="Arkusz1"/>
    </sheetNames>
    <sheetDataSet>
      <sheetData sheetId="0"/>
      <sheetData sheetId="1"/>
      <sheetData sheetId="2">
        <row r="199">
          <cell r="F199">
            <v>35000</v>
          </cell>
        </row>
        <row r="446">
          <cell r="F446">
            <v>6743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0"/>
  <sheetViews>
    <sheetView view="pageLayout" topLeftCell="A192" workbookViewId="0">
      <selection activeCell="G219" sqref="G219"/>
    </sheetView>
  </sheetViews>
  <sheetFormatPr defaultRowHeight="12.75"/>
  <cols>
    <col min="1" max="1" width="3.85546875" customWidth="1"/>
    <col min="2" max="2" width="5.28515625" customWidth="1"/>
    <col min="3" max="3" width="4.28515625" customWidth="1"/>
    <col min="4" max="4" width="58.140625" customWidth="1"/>
    <col min="5" max="5" width="11.42578125" style="151" customWidth="1"/>
    <col min="6" max="6" width="11.7109375" style="37" customWidth="1"/>
    <col min="7" max="7" width="10.42578125" style="37" customWidth="1"/>
    <col min="8" max="8" width="10.85546875" style="37" customWidth="1"/>
    <col min="9" max="9" width="10.140625" style="37" customWidth="1"/>
    <col min="10" max="10" width="6" customWidth="1"/>
    <col min="11" max="11" width="6.140625" customWidth="1"/>
  </cols>
  <sheetData>
    <row r="1" spans="1:10">
      <c r="A1" s="42"/>
      <c r="B1" s="42"/>
      <c r="C1" s="42"/>
      <c r="D1" s="495" t="s">
        <v>251</v>
      </c>
      <c r="E1" s="495"/>
      <c r="F1" s="495"/>
      <c r="G1" s="495"/>
      <c r="H1" s="495"/>
      <c r="I1" s="495"/>
      <c r="J1" s="495"/>
    </row>
    <row r="2" spans="1:10">
      <c r="A2" s="496" t="s">
        <v>2</v>
      </c>
      <c r="B2" s="496"/>
      <c r="C2" s="496"/>
      <c r="D2" s="496"/>
      <c r="E2" s="496"/>
      <c r="F2" s="496"/>
      <c r="G2" s="496"/>
      <c r="H2" s="496"/>
      <c r="I2" s="496"/>
      <c r="J2" s="496"/>
    </row>
    <row r="3" spans="1:10">
      <c r="A3" s="496" t="s">
        <v>3</v>
      </c>
      <c r="B3" s="496"/>
      <c r="C3" s="496"/>
      <c r="D3" s="496"/>
      <c r="E3" s="496"/>
      <c r="F3" s="496"/>
      <c r="G3" s="496"/>
      <c r="H3" s="496"/>
      <c r="I3" s="496"/>
      <c r="J3" s="496"/>
    </row>
    <row r="4" spans="1:10">
      <c r="A4" s="496" t="s">
        <v>4</v>
      </c>
      <c r="B4" s="496"/>
      <c r="C4" s="496"/>
      <c r="D4" s="496"/>
      <c r="E4" s="496"/>
      <c r="F4" s="496"/>
      <c r="G4" s="496"/>
      <c r="H4" s="496"/>
      <c r="I4" s="496"/>
      <c r="J4" s="496"/>
    </row>
    <row r="5" spans="1:10">
      <c r="A5" s="496" t="s">
        <v>353</v>
      </c>
      <c r="B5" s="496"/>
      <c r="C5" s="496"/>
      <c r="D5" s="496"/>
      <c r="E5" s="496"/>
      <c r="F5" s="496"/>
      <c r="G5" s="496"/>
      <c r="H5" s="496"/>
      <c r="I5" s="496"/>
      <c r="J5" s="496"/>
    </row>
    <row r="6" spans="1:10">
      <c r="A6" s="42"/>
      <c r="B6" s="42"/>
      <c r="C6" s="42"/>
      <c r="D6" s="42"/>
      <c r="E6" s="150"/>
      <c r="F6" s="43"/>
      <c r="G6" s="43"/>
      <c r="H6" s="107" t="s">
        <v>141</v>
      </c>
      <c r="I6" s="355"/>
    </row>
    <row r="7" spans="1:10" s="67" customFormat="1" ht="11.25">
      <c r="A7" s="476" t="s">
        <v>0</v>
      </c>
      <c r="B7" s="476" t="s">
        <v>60</v>
      </c>
      <c r="C7" s="476" t="s">
        <v>61</v>
      </c>
      <c r="D7" s="476" t="s">
        <v>1</v>
      </c>
      <c r="E7" s="500" t="s">
        <v>154</v>
      </c>
      <c r="F7" s="505" t="s">
        <v>365</v>
      </c>
      <c r="G7" s="506"/>
      <c r="H7" s="506"/>
      <c r="I7" s="507"/>
      <c r="J7" s="497" t="s">
        <v>126</v>
      </c>
    </row>
    <row r="8" spans="1:10" s="67" customFormat="1" ht="16.5" customHeight="1">
      <c r="A8" s="477"/>
      <c r="B8" s="477"/>
      <c r="C8" s="477"/>
      <c r="D8" s="477"/>
      <c r="E8" s="501"/>
      <c r="F8" s="504" t="s">
        <v>190</v>
      </c>
      <c r="G8" s="354" t="s">
        <v>9</v>
      </c>
      <c r="H8" s="503" t="s">
        <v>191</v>
      </c>
      <c r="I8" s="353" t="s">
        <v>9</v>
      </c>
      <c r="J8" s="498"/>
    </row>
    <row r="9" spans="1:10" s="67" customFormat="1" ht="105">
      <c r="A9" s="478"/>
      <c r="B9" s="478"/>
      <c r="C9" s="478"/>
      <c r="D9" s="478"/>
      <c r="E9" s="502"/>
      <c r="F9" s="504"/>
      <c r="G9" s="368" t="s">
        <v>366</v>
      </c>
      <c r="H9" s="503"/>
      <c r="I9" s="368" t="s">
        <v>366</v>
      </c>
      <c r="J9" s="499"/>
    </row>
    <row r="10" spans="1:10" s="67" customFormat="1" ht="11.25">
      <c r="A10" s="49">
        <v>1</v>
      </c>
      <c r="B10" s="49">
        <v>2</v>
      </c>
      <c r="C10" s="49">
        <v>3</v>
      </c>
      <c r="D10" s="49">
        <v>4</v>
      </c>
      <c r="E10" s="153">
        <v>5</v>
      </c>
      <c r="F10" s="66">
        <v>6</v>
      </c>
      <c r="G10" s="66"/>
      <c r="H10" s="66">
        <v>7</v>
      </c>
      <c r="I10" s="66"/>
      <c r="J10" s="49">
        <v>8</v>
      </c>
    </row>
    <row r="11" spans="1:10" s="57" customFormat="1" ht="12">
      <c r="A11" s="109" t="s">
        <v>12</v>
      </c>
      <c r="B11" s="113"/>
      <c r="C11" s="110"/>
      <c r="D11" s="111" t="s">
        <v>25</v>
      </c>
      <c r="E11" s="154">
        <f>E12+E14</f>
        <v>61535</v>
      </c>
      <c r="F11" s="154">
        <f t="shared" ref="F11:H11" si="0">F12+F14</f>
        <v>49834</v>
      </c>
      <c r="G11" s="154"/>
      <c r="H11" s="154">
        <f t="shared" si="0"/>
        <v>11535</v>
      </c>
      <c r="I11" s="154"/>
      <c r="J11" s="362">
        <f>(F11+H11)/E11*100</f>
        <v>99.730234825708948</v>
      </c>
    </row>
    <row r="12" spans="1:10" s="57" customFormat="1" ht="12">
      <c r="A12" s="476" t="s">
        <v>11</v>
      </c>
      <c r="B12" s="112" t="s">
        <v>46</v>
      </c>
      <c r="C12" s="132"/>
      <c r="D12" s="128" t="s">
        <v>62</v>
      </c>
      <c r="E12" s="155">
        <f>E13</f>
        <v>50000</v>
      </c>
      <c r="F12" s="163">
        <f>F13</f>
        <v>49834</v>
      </c>
      <c r="G12" s="163"/>
      <c r="H12" s="163">
        <v>0</v>
      </c>
      <c r="I12" s="163"/>
      <c r="J12" s="363">
        <f>(F12+H12)/E12*100</f>
        <v>99.668000000000006</v>
      </c>
    </row>
    <row r="13" spans="1:10" s="57" customFormat="1" ht="22.5">
      <c r="A13" s="477"/>
      <c r="B13" s="132"/>
      <c r="C13" s="132">
        <v>2110</v>
      </c>
      <c r="D13" s="87" t="s">
        <v>63</v>
      </c>
      <c r="E13" s="155">
        <v>50000</v>
      </c>
      <c r="F13" s="163">
        <v>49834</v>
      </c>
      <c r="G13" s="367"/>
      <c r="H13" s="169">
        <v>0</v>
      </c>
      <c r="I13" s="169"/>
      <c r="J13" s="363">
        <f t="shared" ref="J13:J85" si="1">(F13+H13)/E13*100</f>
        <v>99.668000000000006</v>
      </c>
    </row>
    <row r="14" spans="1:10" s="57" customFormat="1" ht="12">
      <c r="A14" s="477"/>
      <c r="B14" s="112" t="s">
        <v>194</v>
      </c>
      <c r="C14" s="148"/>
      <c r="D14" s="87" t="s">
        <v>72</v>
      </c>
      <c r="E14" s="155">
        <f>E15</f>
        <v>11535</v>
      </c>
      <c r="F14" s="163">
        <f>F15</f>
        <v>0</v>
      </c>
      <c r="G14" s="367"/>
      <c r="H14" s="169">
        <f>H15</f>
        <v>11535</v>
      </c>
      <c r="I14" s="169"/>
      <c r="J14" s="363">
        <f t="shared" si="1"/>
        <v>100</v>
      </c>
    </row>
    <row r="15" spans="1:10" s="57" customFormat="1" ht="22.5">
      <c r="A15" s="478"/>
      <c r="B15" s="148"/>
      <c r="C15" s="112" t="s">
        <v>21</v>
      </c>
      <c r="D15" s="87" t="s">
        <v>58</v>
      </c>
      <c r="E15" s="155">
        <v>11535</v>
      </c>
      <c r="F15" s="163">
        <v>0</v>
      </c>
      <c r="G15" s="367"/>
      <c r="H15" s="169">
        <v>11535</v>
      </c>
      <c r="I15" s="169"/>
      <c r="J15" s="363">
        <f t="shared" si="1"/>
        <v>100</v>
      </c>
    </row>
    <row r="16" spans="1:10" s="57" customFormat="1" ht="12">
      <c r="A16" s="113" t="s">
        <v>13</v>
      </c>
      <c r="B16" s="115"/>
      <c r="C16" s="115"/>
      <c r="D16" s="116" t="s">
        <v>26</v>
      </c>
      <c r="E16" s="154">
        <f>E17+E20</f>
        <v>282765.28000000003</v>
      </c>
      <c r="F16" s="154">
        <f>F17+F20</f>
        <v>263191.59000000003</v>
      </c>
      <c r="G16" s="154"/>
      <c r="H16" s="162">
        <v>0</v>
      </c>
      <c r="I16" s="162"/>
      <c r="J16" s="364">
        <f t="shared" si="1"/>
        <v>93.077760466207167</v>
      </c>
    </row>
    <row r="17" spans="1:10" s="57" customFormat="1" ht="12">
      <c r="A17" s="476" t="s">
        <v>11</v>
      </c>
      <c r="B17" s="112" t="s">
        <v>64</v>
      </c>
      <c r="C17" s="132"/>
      <c r="D17" s="87" t="s">
        <v>65</v>
      </c>
      <c r="E17" s="155">
        <f>E19+E18</f>
        <v>270000</v>
      </c>
      <c r="F17" s="163">
        <f>F19+F18</f>
        <v>250426.31</v>
      </c>
      <c r="G17" s="367"/>
      <c r="H17" s="169">
        <v>0</v>
      </c>
      <c r="I17" s="169"/>
      <c r="J17" s="363">
        <f t="shared" si="1"/>
        <v>92.750485185185184</v>
      </c>
    </row>
    <row r="18" spans="1:10" s="57" customFormat="1" ht="12">
      <c r="A18" s="477"/>
      <c r="B18" s="479"/>
      <c r="C18" s="112" t="s">
        <v>54</v>
      </c>
      <c r="D18" s="87" t="s">
        <v>56</v>
      </c>
      <c r="E18" s="155">
        <v>0</v>
      </c>
      <c r="F18" s="163">
        <v>1547.91</v>
      </c>
      <c r="G18" s="367"/>
      <c r="H18" s="169">
        <v>0</v>
      </c>
      <c r="I18" s="169"/>
      <c r="J18" s="363"/>
    </row>
    <row r="19" spans="1:10" s="57" customFormat="1" ht="22.5">
      <c r="A19" s="477"/>
      <c r="B19" s="480"/>
      <c r="C19" s="132">
        <v>2460</v>
      </c>
      <c r="D19" s="87" t="s">
        <v>66</v>
      </c>
      <c r="E19" s="155">
        <v>270000</v>
      </c>
      <c r="F19" s="163">
        <v>248878.4</v>
      </c>
      <c r="G19" s="367"/>
      <c r="H19" s="169">
        <v>0</v>
      </c>
      <c r="I19" s="169"/>
      <c r="J19" s="363">
        <f t="shared" si="1"/>
        <v>92.177185185185181</v>
      </c>
    </row>
    <row r="20" spans="1:10" s="57" customFormat="1" ht="12">
      <c r="A20" s="477"/>
      <c r="B20" s="255" t="s">
        <v>99</v>
      </c>
      <c r="C20" s="253"/>
      <c r="D20" s="87" t="s">
        <v>100</v>
      </c>
      <c r="E20" s="155">
        <f>E21</f>
        <v>12765.28</v>
      </c>
      <c r="F20" s="163">
        <f>F21</f>
        <v>12765.28</v>
      </c>
      <c r="G20" s="367"/>
      <c r="H20" s="169">
        <v>0</v>
      </c>
      <c r="I20" s="169"/>
      <c r="J20" s="363">
        <f t="shared" si="1"/>
        <v>100</v>
      </c>
    </row>
    <row r="21" spans="1:10" s="57" customFormat="1" ht="21.75" customHeight="1">
      <c r="A21" s="478"/>
      <c r="B21" s="255"/>
      <c r="C21" s="112" t="s">
        <v>20</v>
      </c>
      <c r="D21" s="87" t="s">
        <v>162</v>
      </c>
      <c r="E21" s="155">
        <v>12765.28</v>
      </c>
      <c r="F21" s="163">
        <v>12765.28</v>
      </c>
      <c r="G21" s="367"/>
      <c r="H21" s="169">
        <v>0</v>
      </c>
      <c r="I21" s="169"/>
      <c r="J21" s="363">
        <f t="shared" si="1"/>
        <v>100</v>
      </c>
    </row>
    <row r="22" spans="1:10" s="57" customFormat="1" ht="12">
      <c r="A22" s="115">
        <v>600</v>
      </c>
      <c r="B22" s="115"/>
      <c r="C22" s="115"/>
      <c r="D22" s="116" t="s">
        <v>67</v>
      </c>
      <c r="E22" s="154">
        <f>E23+E33</f>
        <v>2961501.5100000002</v>
      </c>
      <c r="F22" s="154">
        <f t="shared" ref="F22:I22" si="2">F23+F33</f>
        <v>161069.28</v>
      </c>
      <c r="G22" s="154"/>
      <c r="H22" s="154">
        <f t="shared" si="2"/>
        <v>2715470.99</v>
      </c>
      <c r="I22" s="154">
        <f t="shared" si="2"/>
        <v>1369858.71</v>
      </c>
      <c r="J22" s="364">
        <f t="shared" si="1"/>
        <v>97.131143113953698</v>
      </c>
    </row>
    <row r="23" spans="1:10" s="57" customFormat="1" ht="12">
      <c r="A23" s="476"/>
      <c r="B23" s="132">
        <v>60014</v>
      </c>
      <c r="C23" s="132"/>
      <c r="D23" s="87" t="s">
        <v>37</v>
      </c>
      <c r="E23" s="360">
        <f>SUM(E24:E32)</f>
        <v>2782242.8600000003</v>
      </c>
      <c r="F23" s="360">
        <f t="shared" ref="F23:I23" si="3">SUM(F24:F32)</f>
        <v>161069.28</v>
      </c>
      <c r="G23" s="360"/>
      <c r="H23" s="360">
        <f t="shared" si="3"/>
        <v>2625489.8200000003</v>
      </c>
      <c r="I23" s="360">
        <f t="shared" si="3"/>
        <v>1279877.54</v>
      </c>
      <c r="J23" s="363">
        <f t="shared" si="1"/>
        <v>100.15513527097342</v>
      </c>
    </row>
    <row r="24" spans="1:10" s="57" customFormat="1" ht="12">
      <c r="A24" s="477"/>
      <c r="B24" s="476"/>
      <c r="C24" s="112" t="s">
        <v>53</v>
      </c>
      <c r="D24" s="87" t="s">
        <v>55</v>
      </c>
      <c r="E24" s="155">
        <v>1200</v>
      </c>
      <c r="F24" s="163">
        <v>1336.98</v>
      </c>
      <c r="G24" s="367"/>
      <c r="H24" s="169">
        <v>0</v>
      </c>
      <c r="I24" s="169"/>
      <c r="J24" s="363">
        <f t="shared" si="1"/>
        <v>111.41499999999999</v>
      </c>
    </row>
    <row r="25" spans="1:10" s="57" customFormat="1" ht="12">
      <c r="A25" s="477"/>
      <c r="B25" s="477"/>
      <c r="C25" s="112" t="s">
        <v>47</v>
      </c>
      <c r="D25" s="87" t="s">
        <v>57</v>
      </c>
      <c r="E25" s="155">
        <v>1500</v>
      </c>
      <c r="F25" s="163">
        <v>1881.59</v>
      </c>
      <c r="G25" s="367"/>
      <c r="H25" s="169">
        <v>0</v>
      </c>
      <c r="I25" s="169"/>
      <c r="J25" s="363">
        <f t="shared" si="1"/>
        <v>125.43933333333332</v>
      </c>
    </row>
    <row r="26" spans="1:10" s="57" customFormat="1" ht="12">
      <c r="A26" s="477"/>
      <c r="B26" s="477"/>
      <c r="C26" s="112" t="s">
        <v>54</v>
      </c>
      <c r="D26" s="87" t="s">
        <v>56</v>
      </c>
      <c r="E26" s="155">
        <v>25800</v>
      </c>
      <c r="F26" s="163">
        <v>34882.39</v>
      </c>
      <c r="G26" s="367"/>
      <c r="H26" s="169">
        <v>0</v>
      </c>
      <c r="I26" s="169"/>
      <c r="J26" s="363">
        <f t="shared" si="1"/>
        <v>135.20306201550386</v>
      </c>
    </row>
    <row r="27" spans="1:10" s="57" customFormat="1" ht="22.5">
      <c r="A27" s="477"/>
      <c r="B27" s="477"/>
      <c r="C27" s="112">
        <v>2310</v>
      </c>
      <c r="D27" s="87" t="s">
        <v>354</v>
      </c>
      <c r="E27" s="155">
        <v>22968.32</v>
      </c>
      <c r="F27" s="163">
        <v>22968.32</v>
      </c>
      <c r="G27" s="163"/>
      <c r="H27" s="361">
        <v>0</v>
      </c>
      <c r="I27" s="361"/>
      <c r="J27" s="363">
        <f t="shared" si="1"/>
        <v>100</v>
      </c>
    </row>
    <row r="28" spans="1:10" s="57" customFormat="1" ht="22.5">
      <c r="A28" s="477"/>
      <c r="B28" s="477"/>
      <c r="C28" s="112">
        <v>2710</v>
      </c>
      <c r="D28" s="87" t="s">
        <v>479</v>
      </c>
      <c r="E28" s="155">
        <v>100000</v>
      </c>
      <c r="F28" s="163">
        <v>100000</v>
      </c>
      <c r="G28" s="163"/>
      <c r="H28" s="361">
        <v>0</v>
      </c>
      <c r="I28" s="361"/>
      <c r="J28" s="363">
        <f t="shared" si="1"/>
        <v>100</v>
      </c>
    </row>
    <row r="29" spans="1:10" s="57" customFormat="1" ht="33.75">
      <c r="A29" s="477"/>
      <c r="B29" s="477"/>
      <c r="C29" s="112">
        <v>6207</v>
      </c>
      <c r="D29" s="87" t="s">
        <v>205</v>
      </c>
      <c r="E29" s="155">
        <v>1279877.54</v>
      </c>
      <c r="F29" s="163">
        <v>0</v>
      </c>
      <c r="G29" s="367"/>
      <c r="H29" s="169">
        <v>1279877.54</v>
      </c>
      <c r="I29" s="169">
        <f>H29</f>
        <v>1279877.54</v>
      </c>
      <c r="J29" s="363">
        <f t="shared" si="1"/>
        <v>100</v>
      </c>
    </row>
    <row r="30" spans="1:10" s="57" customFormat="1" ht="22.5">
      <c r="A30" s="477"/>
      <c r="B30" s="477"/>
      <c r="C30" s="112">
        <v>6290</v>
      </c>
      <c r="D30" s="87" t="s">
        <v>355</v>
      </c>
      <c r="E30" s="155">
        <v>25000</v>
      </c>
      <c r="F30" s="163">
        <v>0</v>
      </c>
      <c r="G30" s="367"/>
      <c r="H30" s="169">
        <v>20000</v>
      </c>
      <c r="I30" s="169"/>
      <c r="J30" s="363">
        <f t="shared" si="1"/>
        <v>80</v>
      </c>
    </row>
    <row r="31" spans="1:10" s="57" customFormat="1" ht="33.75">
      <c r="A31" s="477"/>
      <c r="B31" s="477"/>
      <c r="C31" s="112">
        <v>6300</v>
      </c>
      <c r="D31" s="87" t="s">
        <v>480</v>
      </c>
      <c r="E31" s="155">
        <v>132300</v>
      </c>
      <c r="F31" s="163">
        <v>0</v>
      </c>
      <c r="G31" s="367"/>
      <c r="H31" s="169">
        <v>132245.28</v>
      </c>
      <c r="I31" s="169"/>
      <c r="J31" s="363">
        <f t="shared" si="1"/>
        <v>99.958639455782318</v>
      </c>
    </row>
    <row r="32" spans="1:10" s="57" customFormat="1" ht="22.5">
      <c r="A32" s="477"/>
      <c r="B32" s="478"/>
      <c r="C32" s="112">
        <v>6430</v>
      </c>
      <c r="D32" s="87" t="s">
        <v>356</v>
      </c>
      <c r="E32" s="155">
        <v>1193597</v>
      </c>
      <c r="F32" s="163">
        <v>0</v>
      </c>
      <c r="G32" s="367"/>
      <c r="H32" s="169">
        <v>1193367</v>
      </c>
      <c r="I32" s="169"/>
      <c r="J32" s="363">
        <f t="shared" si="1"/>
        <v>99.980730514570666</v>
      </c>
    </row>
    <row r="33" spans="1:10" s="57" customFormat="1" ht="12">
      <c r="A33" s="477"/>
      <c r="B33" s="147">
        <v>60016</v>
      </c>
      <c r="C33" s="112"/>
      <c r="D33" s="87" t="s">
        <v>195</v>
      </c>
      <c r="E33" s="155">
        <f>E34</f>
        <v>179258.65</v>
      </c>
      <c r="F33" s="163">
        <f>F34</f>
        <v>0</v>
      </c>
      <c r="G33" s="163"/>
      <c r="H33" s="361">
        <f>H34</f>
        <v>89981.17</v>
      </c>
      <c r="I33" s="361">
        <f>H33</f>
        <v>89981.17</v>
      </c>
      <c r="J33" s="363">
        <f t="shared" si="1"/>
        <v>50.196277836522817</v>
      </c>
    </row>
    <row r="34" spans="1:10" s="57" customFormat="1" ht="33.75">
      <c r="A34" s="478"/>
      <c r="B34" s="147"/>
      <c r="C34" s="112">
        <v>6207</v>
      </c>
      <c r="D34" s="87" t="s">
        <v>205</v>
      </c>
      <c r="E34" s="155">
        <v>179258.65</v>
      </c>
      <c r="F34" s="163">
        <v>0</v>
      </c>
      <c r="G34" s="367"/>
      <c r="H34" s="169">
        <v>89981.17</v>
      </c>
      <c r="I34" s="169">
        <f>H34</f>
        <v>89981.17</v>
      </c>
      <c r="J34" s="363">
        <f t="shared" si="1"/>
        <v>50.196277836522817</v>
      </c>
    </row>
    <row r="35" spans="1:10" s="57" customFormat="1" ht="12">
      <c r="A35" s="115">
        <v>700</v>
      </c>
      <c r="B35" s="115"/>
      <c r="C35" s="115"/>
      <c r="D35" s="116" t="s">
        <v>27</v>
      </c>
      <c r="E35" s="154">
        <f>E36</f>
        <v>286680.04000000004</v>
      </c>
      <c r="F35" s="162">
        <f>F36</f>
        <v>197156.32</v>
      </c>
      <c r="G35" s="162"/>
      <c r="H35" s="162">
        <f>H36</f>
        <v>114528</v>
      </c>
      <c r="I35" s="162"/>
      <c r="J35" s="364">
        <f t="shared" si="1"/>
        <v>108.7220163636087</v>
      </c>
    </row>
    <row r="36" spans="1:10" s="57" customFormat="1" ht="12">
      <c r="A36" s="484" t="s">
        <v>11</v>
      </c>
      <c r="B36" s="132">
        <v>70005</v>
      </c>
      <c r="C36" s="132"/>
      <c r="D36" s="87" t="s">
        <v>68</v>
      </c>
      <c r="E36" s="155">
        <f>SUM(E37:E43)</f>
        <v>286680.04000000004</v>
      </c>
      <c r="F36" s="163">
        <f>SUM(F37:F43)</f>
        <v>197156.32</v>
      </c>
      <c r="G36" s="163"/>
      <c r="H36" s="163">
        <f>SUM(H37:H43)</f>
        <v>114528</v>
      </c>
      <c r="I36" s="163"/>
      <c r="J36" s="363">
        <f t="shared" si="1"/>
        <v>108.7220163636087</v>
      </c>
    </row>
    <row r="37" spans="1:10" s="57" customFormat="1" ht="12">
      <c r="A37" s="484"/>
      <c r="B37" s="484"/>
      <c r="C37" s="112" t="s">
        <v>19</v>
      </c>
      <c r="D37" s="87" t="s">
        <v>22</v>
      </c>
      <c r="E37" s="155">
        <v>7076</v>
      </c>
      <c r="F37" s="163">
        <v>7076.34</v>
      </c>
      <c r="G37" s="163"/>
      <c r="H37" s="163">
        <v>0</v>
      </c>
      <c r="I37" s="163"/>
      <c r="J37" s="363">
        <f t="shared" si="1"/>
        <v>100.00480497456191</v>
      </c>
    </row>
    <row r="38" spans="1:10" s="57" customFormat="1" ht="22.5" customHeight="1">
      <c r="A38" s="484"/>
      <c r="B38" s="484"/>
      <c r="C38" s="112" t="s">
        <v>20</v>
      </c>
      <c r="D38" s="87" t="s">
        <v>162</v>
      </c>
      <c r="E38" s="155">
        <v>35696.44</v>
      </c>
      <c r="F38" s="163">
        <v>38065.83</v>
      </c>
      <c r="G38" s="163"/>
      <c r="H38" s="163">
        <v>0</v>
      </c>
      <c r="I38" s="163"/>
      <c r="J38" s="363">
        <f t="shared" si="1"/>
        <v>106.63760868030536</v>
      </c>
    </row>
    <row r="39" spans="1:10" s="57" customFormat="1" ht="22.5">
      <c r="A39" s="484"/>
      <c r="B39" s="484"/>
      <c r="C39" s="112" t="s">
        <v>21</v>
      </c>
      <c r="D39" s="87" t="s">
        <v>58</v>
      </c>
      <c r="E39" s="155">
        <v>99060</v>
      </c>
      <c r="F39" s="163">
        <v>0</v>
      </c>
      <c r="G39" s="163"/>
      <c r="H39" s="163">
        <v>114528</v>
      </c>
      <c r="I39" s="163"/>
      <c r="J39" s="363">
        <f t="shared" si="1"/>
        <v>115.61477892186554</v>
      </c>
    </row>
    <row r="40" spans="1:10" s="57" customFormat="1" ht="12">
      <c r="A40" s="484"/>
      <c r="B40" s="484"/>
      <c r="C40" s="112" t="s">
        <v>47</v>
      </c>
      <c r="D40" s="87" t="s">
        <v>57</v>
      </c>
      <c r="E40" s="155">
        <v>6735</v>
      </c>
      <c r="F40" s="163">
        <v>8064.17</v>
      </c>
      <c r="G40" s="163"/>
      <c r="H40" s="163">
        <v>0</v>
      </c>
      <c r="I40" s="163"/>
      <c r="J40" s="363">
        <f t="shared" si="1"/>
        <v>119.73526354862658</v>
      </c>
    </row>
    <row r="41" spans="1:10" s="57" customFormat="1" ht="12">
      <c r="A41" s="484"/>
      <c r="B41" s="484"/>
      <c r="C41" s="112" t="s">
        <v>54</v>
      </c>
      <c r="D41" s="87" t="s">
        <v>56</v>
      </c>
      <c r="E41" s="155">
        <v>6112.6</v>
      </c>
      <c r="F41" s="163">
        <v>8098.42</v>
      </c>
      <c r="G41" s="163"/>
      <c r="H41" s="163">
        <v>0</v>
      </c>
      <c r="I41" s="163"/>
      <c r="J41" s="363">
        <f t="shared" si="1"/>
        <v>132.48732127081766</v>
      </c>
    </row>
    <row r="42" spans="1:10" s="57" customFormat="1" ht="22.5">
      <c r="A42" s="484"/>
      <c r="B42" s="484"/>
      <c r="C42" s="132">
        <v>2110</v>
      </c>
      <c r="D42" s="87" t="s">
        <v>63</v>
      </c>
      <c r="E42" s="155">
        <v>52000</v>
      </c>
      <c r="F42" s="163">
        <v>51973.33</v>
      </c>
      <c r="G42" s="163"/>
      <c r="H42" s="163">
        <v>0</v>
      </c>
      <c r="I42" s="163"/>
      <c r="J42" s="363">
        <f t="shared" si="1"/>
        <v>99.948711538461538</v>
      </c>
    </row>
    <row r="43" spans="1:10" s="57" customFormat="1" ht="22.5">
      <c r="A43" s="484"/>
      <c r="B43" s="484"/>
      <c r="C43" s="132">
        <v>2360</v>
      </c>
      <c r="D43" s="87" t="s">
        <v>129</v>
      </c>
      <c r="E43" s="155">
        <v>80000</v>
      </c>
      <c r="F43" s="163">
        <v>83878.23</v>
      </c>
      <c r="G43" s="163"/>
      <c r="H43" s="163">
        <v>0</v>
      </c>
      <c r="I43" s="163"/>
      <c r="J43" s="363">
        <f t="shared" si="1"/>
        <v>104.8477875</v>
      </c>
    </row>
    <row r="44" spans="1:10" s="57" customFormat="1" ht="12">
      <c r="A44" s="109">
        <v>710</v>
      </c>
      <c r="B44" s="113"/>
      <c r="C44" s="115"/>
      <c r="D44" s="116" t="s">
        <v>28</v>
      </c>
      <c r="E44" s="154">
        <f>E45+E47+E53</f>
        <v>1040801.61</v>
      </c>
      <c r="F44" s="162">
        <f>F45+F47+F53</f>
        <v>1087235.22</v>
      </c>
      <c r="G44" s="162"/>
      <c r="H44" s="162">
        <v>0</v>
      </c>
      <c r="I44" s="162"/>
      <c r="J44" s="364">
        <f t="shared" si="1"/>
        <v>104.46133149236769</v>
      </c>
    </row>
    <row r="45" spans="1:10" s="57" customFormat="1" ht="12">
      <c r="A45" s="481" t="s">
        <v>11</v>
      </c>
      <c r="B45" s="112">
        <v>71013</v>
      </c>
      <c r="C45" s="132"/>
      <c r="D45" s="87" t="s">
        <v>69</v>
      </c>
      <c r="E45" s="155">
        <f>E46</f>
        <v>107000</v>
      </c>
      <c r="F45" s="163">
        <f>F46</f>
        <v>107000</v>
      </c>
      <c r="G45" s="163"/>
      <c r="H45" s="163">
        <v>0</v>
      </c>
      <c r="I45" s="163"/>
      <c r="J45" s="363">
        <f t="shared" si="1"/>
        <v>100</v>
      </c>
    </row>
    <row r="46" spans="1:10" s="57" customFormat="1" ht="22.5">
      <c r="A46" s="482"/>
      <c r="B46" s="132"/>
      <c r="C46" s="132">
        <v>2110</v>
      </c>
      <c r="D46" s="87" t="s">
        <v>63</v>
      </c>
      <c r="E46" s="155">
        <v>107000</v>
      </c>
      <c r="F46" s="163">
        <v>107000</v>
      </c>
      <c r="G46" s="163"/>
      <c r="H46" s="163">
        <v>0</v>
      </c>
      <c r="I46" s="163"/>
      <c r="J46" s="363">
        <f t="shared" si="1"/>
        <v>100</v>
      </c>
    </row>
    <row r="47" spans="1:10" s="57" customFormat="1" ht="12">
      <c r="A47" s="482"/>
      <c r="B47" s="132">
        <v>71014</v>
      </c>
      <c r="C47" s="132"/>
      <c r="D47" s="87" t="s">
        <v>70</v>
      </c>
      <c r="E47" s="155">
        <f>SUM(E48:E52)</f>
        <v>647801.61</v>
      </c>
      <c r="F47" s="155">
        <f>SUM(F48:F52)</f>
        <v>693200.57000000007</v>
      </c>
      <c r="G47" s="155"/>
      <c r="H47" s="163">
        <v>0</v>
      </c>
      <c r="I47" s="163"/>
      <c r="J47" s="363">
        <f t="shared" si="1"/>
        <v>107.00815794514622</v>
      </c>
    </row>
    <row r="48" spans="1:10" s="57" customFormat="1" ht="12">
      <c r="A48" s="482"/>
      <c r="B48" s="477"/>
      <c r="C48" s="112" t="s">
        <v>53</v>
      </c>
      <c r="D48" s="87" t="s">
        <v>55</v>
      </c>
      <c r="E48" s="155">
        <v>384404.69</v>
      </c>
      <c r="F48" s="163">
        <v>396549</v>
      </c>
      <c r="G48" s="163"/>
      <c r="H48" s="163">
        <v>0</v>
      </c>
      <c r="I48" s="163"/>
      <c r="J48" s="363">
        <f t="shared" si="1"/>
        <v>103.15925125679397</v>
      </c>
    </row>
    <row r="49" spans="1:10" s="57" customFormat="1" ht="12">
      <c r="A49" s="482"/>
      <c r="B49" s="477"/>
      <c r="C49" s="112" t="s">
        <v>47</v>
      </c>
      <c r="D49" s="87" t="s">
        <v>57</v>
      </c>
      <c r="E49" s="155">
        <v>1878</v>
      </c>
      <c r="F49" s="163">
        <v>1958.97</v>
      </c>
      <c r="G49" s="163"/>
      <c r="H49" s="163">
        <v>0</v>
      </c>
      <c r="I49" s="163"/>
      <c r="J49" s="363">
        <f t="shared" si="1"/>
        <v>104.31150159744409</v>
      </c>
    </row>
    <row r="50" spans="1:10" s="57" customFormat="1" ht="12">
      <c r="A50" s="482"/>
      <c r="B50" s="477"/>
      <c r="C50" s="112" t="s">
        <v>54</v>
      </c>
      <c r="D50" s="87" t="s">
        <v>56</v>
      </c>
      <c r="E50" s="155">
        <v>239518.92</v>
      </c>
      <c r="F50" s="163">
        <v>239518.92</v>
      </c>
      <c r="G50" s="163"/>
      <c r="H50" s="163">
        <v>0</v>
      </c>
      <c r="I50" s="163"/>
      <c r="J50" s="363">
        <f t="shared" si="1"/>
        <v>100</v>
      </c>
    </row>
    <row r="51" spans="1:10" s="57" customFormat="1" ht="22.5">
      <c r="A51" s="482"/>
      <c r="B51" s="477"/>
      <c r="C51" s="132">
        <v>2110</v>
      </c>
      <c r="D51" s="87" t="s">
        <v>63</v>
      </c>
      <c r="E51" s="155">
        <v>22000</v>
      </c>
      <c r="F51" s="163">
        <v>21947</v>
      </c>
      <c r="G51" s="163"/>
      <c r="H51" s="163">
        <v>0</v>
      </c>
      <c r="I51" s="163"/>
      <c r="J51" s="363">
        <f t="shared" si="1"/>
        <v>99.759090909090915</v>
      </c>
    </row>
    <row r="52" spans="1:10" s="57" customFormat="1" ht="22.5">
      <c r="A52" s="482"/>
      <c r="B52" s="478"/>
      <c r="C52" s="349">
        <v>2910</v>
      </c>
      <c r="D52" s="87" t="s">
        <v>132</v>
      </c>
      <c r="E52" s="155">
        <v>0</v>
      </c>
      <c r="F52" s="163">
        <v>33226.68</v>
      </c>
      <c r="G52" s="163"/>
      <c r="H52" s="163">
        <v>0</v>
      </c>
      <c r="I52" s="163"/>
      <c r="J52" s="363"/>
    </row>
    <row r="53" spans="1:10" s="57" customFormat="1" ht="12">
      <c r="A53" s="482"/>
      <c r="B53" s="132">
        <v>71015</v>
      </c>
      <c r="C53" s="132"/>
      <c r="D53" s="87" t="s">
        <v>71</v>
      </c>
      <c r="E53" s="155">
        <f>SUM(E54:E57)</f>
        <v>286000</v>
      </c>
      <c r="F53" s="155">
        <f t="shared" ref="F53:H53" si="4">SUM(F54:F57)</f>
        <v>287034.64999999997</v>
      </c>
      <c r="G53" s="155"/>
      <c r="H53" s="155">
        <f t="shared" si="4"/>
        <v>0</v>
      </c>
      <c r="I53" s="155"/>
      <c r="J53" s="363">
        <f t="shared" si="1"/>
        <v>100.36176573426572</v>
      </c>
    </row>
    <row r="54" spans="1:10" s="57" customFormat="1" ht="12">
      <c r="A54" s="482"/>
      <c r="B54" s="476"/>
      <c r="C54" s="112" t="s">
        <v>35</v>
      </c>
      <c r="D54" s="90" t="s">
        <v>36</v>
      </c>
      <c r="E54" s="155">
        <v>0</v>
      </c>
      <c r="F54" s="163">
        <v>522.4</v>
      </c>
      <c r="G54" s="163"/>
      <c r="H54" s="163">
        <v>0</v>
      </c>
      <c r="I54" s="163"/>
      <c r="J54" s="363"/>
    </row>
    <row r="55" spans="1:10" s="57" customFormat="1" ht="12">
      <c r="A55" s="482"/>
      <c r="B55" s="477"/>
      <c r="C55" s="112" t="s">
        <v>47</v>
      </c>
      <c r="D55" s="87" t="s">
        <v>57</v>
      </c>
      <c r="E55" s="155">
        <v>0</v>
      </c>
      <c r="F55" s="163">
        <v>507.51</v>
      </c>
      <c r="G55" s="163"/>
      <c r="H55" s="163">
        <v>0</v>
      </c>
      <c r="I55" s="163"/>
      <c r="J55" s="363"/>
    </row>
    <row r="56" spans="1:10" s="57" customFormat="1" ht="22.5">
      <c r="A56" s="482"/>
      <c r="B56" s="477"/>
      <c r="C56" s="112">
        <v>2110</v>
      </c>
      <c r="D56" s="87" t="s">
        <v>63</v>
      </c>
      <c r="E56" s="155">
        <v>286000</v>
      </c>
      <c r="F56" s="163">
        <v>285994.74</v>
      </c>
      <c r="G56" s="163"/>
      <c r="H56" s="163">
        <v>0</v>
      </c>
      <c r="I56" s="163"/>
      <c r="J56" s="363">
        <f t="shared" si="1"/>
        <v>99.998160839160832</v>
      </c>
    </row>
    <row r="57" spans="1:10" s="57" customFormat="1" ht="22.5">
      <c r="A57" s="483"/>
      <c r="B57" s="478"/>
      <c r="C57" s="112">
        <v>2360</v>
      </c>
      <c r="D57" s="87" t="s">
        <v>129</v>
      </c>
      <c r="E57" s="155">
        <v>0</v>
      </c>
      <c r="F57" s="163">
        <v>10</v>
      </c>
      <c r="G57" s="163"/>
      <c r="H57" s="163">
        <v>0</v>
      </c>
      <c r="I57" s="163"/>
      <c r="J57" s="363"/>
    </row>
    <row r="58" spans="1:10" s="57" customFormat="1" ht="12">
      <c r="A58" s="110">
        <v>750</v>
      </c>
      <c r="B58" s="115"/>
      <c r="C58" s="115"/>
      <c r="D58" s="116" t="s">
        <v>29</v>
      </c>
      <c r="E58" s="154">
        <f>E59+E61+E66+E68+E70</f>
        <v>190889.76</v>
      </c>
      <c r="F58" s="154">
        <f>F59+F61+F66+F68+F70</f>
        <v>198658.7</v>
      </c>
      <c r="G58" s="154"/>
      <c r="H58" s="154">
        <f>H59+H61+H66+H68+H70</f>
        <v>0</v>
      </c>
      <c r="I58" s="154"/>
      <c r="J58" s="364">
        <f t="shared" si="1"/>
        <v>104.06985686398265</v>
      </c>
    </row>
    <row r="59" spans="1:10" s="57" customFormat="1" ht="12">
      <c r="A59" s="481" t="s">
        <v>11</v>
      </c>
      <c r="B59" s="132">
        <v>75011</v>
      </c>
      <c r="C59" s="132"/>
      <c r="D59" s="87" t="s">
        <v>73</v>
      </c>
      <c r="E59" s="155">
        <f>E60</f>
        <v>105200</v>
      </c>
      <c r="F59" s="163">
        <f>F60</f>
        <v>105200</v>
      </c>
      <c r="G59" s="163"/>
      <c r="H59" s="163">
        <v>0</v>
      </c>
      <c r="I59" s="163"/>
      <c r="J59" s="363">
        <f t="shared" si="1"/>
        <v>100</v>
      </c>
    </row>
    <row r="60" spans="1:10" s="57" customFormat="1" ht="22.5">
      <c r="A60" s="482"/>
      <c r="B60" s="132"/>
      <c r="C60" s="132">
        <v>2110</v>
      </c>
      <c r="D60" s="87" t="s">
        <v>63</v>
      </c>
      <c r="E60" s="155">
        <v>105200</v>
      </c>
      <c r="F60" s="163">
        <v>105200</v>
      </c>
      <c r="G60" s="163"/>
      <c r="H60" s="163">
        <v>0</v>
      </c>
      <c r="I60" s="163"/>
      <c r="J60" s="363">
        <f t="shared" si="1"/>
        <v>100</v>
      </c>
    </row>
    <row r="61" spans="1:10" s="57" customFormat="1" ht="12">
      <c r="A61" s="482"/>
      <c r="B61" s="132">
        <v>75020</v>
      </c>
      <c r="C61" s="132"/>
      <c r="D61" s="87" t="s">
        <v>74</v>
      </c>
      <c r="E61" s="155">
        <f>SUM(E62:E65)</f>
        <v>61883.759999999995</v>
      </c>
      <c r="F61" s="155">
        <f>SUM(F62:F65)</f>
        <v>69654.399999999994</v>
      </c>
      <c r="G61" s="155"/>
      <c r="H61" s="155">
        <f>SUM(H62:H65)</f>
        <v>0</v>
      </c>
      <c r="I61" s="155"/>
      <c r="J61" s="363">
        <f t="shared" si="1"/>
        <v>112.55683235795628</v>
      </c>
    </row>
    <row r="62" spans="1:10" s="57" customFormat="1" ht="12">
      <c r="A62" s="482"/>
      <c r="B62" s="477"/>
      <c r="C62" s="112" t="s">
        <v>35</v>
      </c>
      <c r="D62" s="90" t="s">
        <v>36</v>
      </c>
      <c r="E62" s="155">
        <v>1034</v>
      </c>
      <c r="F62" s="163">
        <v>1135.75</v>
      </c>
      <c r="G62" s="163"/>
      <c r="H62" s="163">
        <v>0</v>
      </c>
      <c r="I62" s="163"/>
      <c r="J62" s="363">
        <f t="shared" si="1"/>
        <v>109.84042553191489</v>
      </c>
    </row>
    <row r="63" spans="1:10" s="57" customFormat="1" ht="24.75" customHeight="1">
      <c r="A63" s="482"/>
      <c r="B63" s="477"/>
      <c r="C63" s="112" t="s">
        <v>20</v>
      </c>
      <c r="D63" s="87" t="s">
        <v>162</v>
      </c>
      <c r="E63" s="155">
        <v>17117.759999999998</v>
      </c>
      <c r="F63" s="163">
        <v>18674.16</v>
      </c>
      <c r="G63" s="163"/>
      <c r="H63" s="163">
        <v>0</v>
      </c>
      <c r="I63" s="163"/>
      <c r="J63" s="363">
        <f t="shared" si="1"/>
        <v>109.09231114351412</v>
      </c>
    </row>
    <row r="64" spans="1:10" s="57" customFormat="1" ht="12">
      <c r="A64" s="482"/>
      <c r="B64" s="477"/>
      <c r="C64" s="112" t="s">
        <v>47</v>
      </c>
      <c r="D64" s="87" t="s">
        <v>57</v>
      </c>
      <c r="E64" s="155">
        <v>0</v>
      </c>
      <c r="F64" s="163">
        <v>354.98</v>
      </c>
      <c r="G64" s="163"/>
      <c r="H64" s="163">
        <v>0</v>
      </c>
      <c r="I64" s="163"/>
      <c r="J64" s="363"/>
    </row>
    <row r="65" spans="1:10" s="57" customFormat="1" ht="12">
      <c r="A65" s="482"/>
      <c r="B65" s="477"/>
      <c r="C65" s="112" t="s">
        <v>54</v>
      </c>
      <c r="D65" s="87" t="s">
        <v>56</v>
      </c>
      <c r="E65" s="155">
        <v>43732</v>
      </c>
      <c r="F65" s="163">
        <v>49489.51</v>
      </c>
      <c r="G65" s="163"/>
      <c r="H65" s="163">
        <v>0</v>
      </c>
      <c r="I65" s="163"/>
      <c r="J65" s="363">
        <f t="shared" si="1"/>
        <v>113.16543949510655</v>
      </c>
    </row>
    <row r="66" spans="1:10" s="57" customFormat="1" ht="12">
      <c r="A66" s="482"/>
      <c r="B66" s="132">
        <v>75045</v>
      </c>
      <c r="C66" s="132"/>
      <c r="D66" s="87" t="s">
        <v>287</v>
      </c>
      <c r="E66" s="155">
        <f>E67</f>
        <v>18806</v>
      </c>
      <c r="F66" s="163">
        <f>F67</f>
        <v>18805.66</v>
      </c>
      <c r="G66" s="163"/>
      <c r="H66" s="163">
        <v>0</v>
      </c>
      <c r="I66" s="163"/>
      <c r="J66" s="363">
        <f t="shared" si="1"/>
        <v>99.998192066361796</v>
      </c>
    </row>
    <row r="67" spans="1:10" s="57" customFormat="1" ht="22.5">
      <c r="A67" s="482"/>
      <c r="B67" s="253"/>
      <c r="C67" s="132">
        <v>2110</v>
      </c>
      <c r="D67" s="87" t="s">
        <v>63</v>
      </c>
      <c r="E67" s="155">
        <v>18806</v>
      </c>
      <c r="F67" s="163">
        <v>18805.66</v>
      </c>
      <c r="G67" s="163"/>
      <c r="H67" s="163">
        <v>0</v>
      </c>
      <c r="I67" s="163"/>
      <c r="J67" s="363">
        <f t="shared" si="1"/>
        <v>99.998192066361796</v>
      </c>
    </row>
    <row r="68" spans="1:10" s="57" customFormat="1" ht="11.25" customHeight="1">
      <c r="A68" s="482"/>
      <c r="B68" s="132">
        <v>75075</v>
      </c>
      <c r="C68" s="132"/>
      <c r="D68" s="87" t="s">
        <v>140</v>
      </c>
      <c r="E68" s="155">
        <f>E69</f>
        <v>3000</v>
      </c>
      <c r="F68" s="163">
        <f>F69</f>
        <v>3000</v>
      </c>
      <c r="G68" s="163"/>
      <c r="H68" s="163">
        <v>0</v>
      </c>
      <c r="I68" s="163"/>
      <c r="J68" s="363">
        <f t="shared" si="1"/>
        <v>100</v>
      </c>
    </row>
    <row r="69" spans="1:10" s="57" customFormat="1" ht="22.5">
      <c r="A69" s="482"/>
      <c r="B69" s="132"/>
      <c r="C69" s="132">
        <v>2710</v>
      </c>
      <c r="D69" s="87" t="s">
        <v>479</v>
      </c>
      <c r="E69" s="155">
        <v>3000</v>
      </c>
      <c r="F69" s="163">
        <v>3000</v>
      </c>
      <c r="G69" s="163"/>
      <c r="H69" s="163">
        <v>0</v>
      </c>
      <c r="I69" s="163"/>
      <c r="J69" s="363">
        <f t="shared" si="1"/>
        <v>100</v>
      </c>
    </row>
    <row r="70" spans="1:10" s="57" customFormat="1" ht="12">
      <c r="A70" s="482"/>
      <c r="B70" s="144">
        <v>75095</v>
      </c>
      <c r="C70" s="144"/>
      <c r="D70" s="117" t="s">
        <v>72</v>
      </c>
      <c r="E70" s="155">
        <f>E72+E71</f>
        <v>2000</v>
      </c>
      <c r="F70" s="155">
        <f>F72+F71</f>
        <v>1998.6399999999999</v>
      </c>
      <c r="G70" s="155"/>
      <c r="H70" s="155">
        <f t="shared" ref="H70" si="5">H72</f>
        <v>0</v>
      </c>
      <c r="I70" s="155"/>
      <c r="J70" s="363">
        <f t="shared" si="1"/>
        <v>99.932000000000002</v>
      </c>
    </row>
    <row r="71" spans="1:10" s="57" customFormat="1" ht="12">
      <c r="A71" s="482"/>
      <c r="B71" s="476"/>
      <c r="C71" s="112" t="s">
        <v>47</v>
      </c>
      <c r="D71" s="87" t="s">
        <v>57</v>
      </c>
      <c r="E71" s="155">
        <v>0</v>
      </c>
      <c r="F71" s="155">
        <v>84.36</v>
      </c>
      <c r="G71" s="155"/>
      <c r="H71" s="155">
        <v>0</v>
      </c>
      <c r="I71" s="155"/>
      <c r="J71" s="363"/>
    </row>
    <row r="72" spans="1:10" s="57" customFormat="1" ht="21.75" customHeight="1">
      <c r="A72" s="483"/>
      <c r="B72" s="478"/>
      <c r="C72" s="112" t="s">
        <v>54</v>
      </c>
      <c r="D72" s="117" t="s">
        <v>207</v>
      </c>
      <c r="E72" s="155">
        <v>2000</v>
      </c>
      <c r="F72" s="163">
        <v>1914.28</v>
      </c>
      <c r="G72" s="163"/>
      <c r="H72" s="163">
        <v>0</v>
      </c>
      <c r="I72" s="163"/>
      <c r="J72" s="363">
        <f t="shared" si="1"/>
        <v>95.713999999999999</v>
      </c>
    </row>
    <row r="73" spans="1:10" s="57" customFormat="1" ht="12">
      <c r="A73" s="115">
        <v>754</v>
      </c>
      <c r="B73" s="115"/>
      <c r="C73" s="115"/>
      <c r="D73" s="116" t="s">
        <v>30</v>
      </c>
      <c r="E73" s="154">
        <f>E74+E79</f>
        <v>3141638.7</v>
      </c>
      <c r="F73" s="154">
        <f t="shared" ref="F73:H73" si="6">F74+F79</f>
        <v>3143187.7600000002</v>
      </c>
      <c r="G73" s="154"/>
      <c r="H73" s="154">
        <f t="shared" si="6"/>
        <v>0</v>
      </c>
      <c r="I73" s="154"/>
      <c r="J73" s="364">
        <f t="shared" si="1"/>
        <v>100.04930738852944</v>
      </c>
    </row>
    <row r="74" spans="1:10" s="57" customFormat="1" ht="11.25" customHeight="1">
      <c r="A74" s="476"/>
      <c r="B74" s="132">
        <v>75411</v>
      </c>
      <c r="C74" s="132"/>
      <c r="D74" s="87" t="s">
        <v>38</v>
      </c>
      <c r="E74" s="155">
        <f>SUM(E75:E78)</f>
        <v>3135243</v>
      </c>
      <c r="F74" s="163">
        <f>SUM(F75:F78)</f>
        <v>3136792.06</v>
      </c>
      <c r="G74" s="163"/>
      <c r="H74" s="163">
        <f>SUM(H75:H78)</f>
        <v>0</v>
      </c>
      <c r="I74" s="163"/>
      <c r="J74" s="363">
        <f t="shared" si="1"/>
        <v>100.04940797252398</v>
      </c>
    </row>
    <row r="75" spans="1:10" s="57" customFormat="1" ht="12">
      <c r="A75" s="477"/>
      <c r="B75" s="476"/>
      <c r="C75" s="112" t="s">
        <v>47</v>
      </c>
      <c r="D75" s="87" t="s">
        <v>57</v>
      </c>
      <c r="E75" s="155">
        <v>6000</v>
      </c>
      <c r="F75" s="163">
        <v>7556.96</v>
      </c>
      <c r="G75" s="163"/>
      <c r="H75" s="163">
        <v>0</v>
      </c>
      <c r="I75" s="163"/>
      <c r="J75" s="363">
        <f t="shared" si="1"/>
        <v>125.94933333333333</v>
      </c>
    </row>
    <row r="76" spans="1:10" s="57" customFormat="1" ht="12">
      <c r="A76" s="477"/>
      <c r="B76" s="477"/>
      <c r="C76" s="112" t="s">
        <v>54</v>
      </c>
      <c r="D76" s="87" t="s">
        <v>56</v>
      </c>
      <c r="E76" s="155">
        <v>800</v>
      </c>
      <c r="F76" s="163">
        <v>794</v>
      </c>
      <c r="G76" s="163"/>
      <c r="H76" s="163">
        <v>0</v>
      </c>
      <c r="I76" s="163"/>
      <c r="J76" s="363">
        <f t="shared" si="1"/>
        <v>99.25</v>
      </c>
    </row>
    <row r="77" spans="1:10" s="57" customFormat="1" ht="22.5">
      <c r="A77" s="477"/>
      <c r="B77" s="477"/>
      <c r="C77" s="132">
        <v>2110</v>
      </c>
      <c r="D77" s="87" t="s">
        <v>63</v>
      </c>
      <c r="E77" s="155">
        <v>3128443</v>
      </c>
      <c r="F77" s="163">
        <v>3128433.85</v>
      </c>
      <c r="G77" s="163"/>
      <c r="H77" s="163">
        <v>0</v>
      </c>
      <c r="I77" s="163"/>
      <c r="J77" s="363">
        <f t="shared" si="1"/>
        <v>99.9997075222403</v>
      </c>
    </row>
    <row r="78" spans="1:10" s="57" customFormat="1" ht="22.5">
      <c r="A78" s="477"/>
      <c r="B78" s="477"/>
      <c r="C78" s="132">
        <v>2360</v>
      </c>
      <c r="D78" s="87" t="s">
        <v>129</v>
      </c>
      <c r="E78" s="155">
        <v>0</v>
      </c>
      <c r="F78" s="163">
        <v>7.25</v>
      </c>
      <c r="G78" s="163"/>
      <c r="H78" s="163">
        <v>0</v>
      </c>
      <c r="I78" s="163"/>
      <c r="J78" s="363"/>
    </row>
    <row r="79" spans="1:10" s="57" customFormat="1" ht="12">
      <c r="A79" s="477"/>
      <c r="B79" s="132">
        <v>75421</v>
      </c>
      <c r="C79" s="132"/>
      <c r="D79" s="87" t="s">
        <v>163</v>
      </c>
      <c r="E79" s="155">
        <f>E80</f>
        <v>6395.7</v>
      </c>
      <c r="F79" s="155">
        <f t="shared" ref="F79:H79" si="7">F80</f>
        <v>6395.7</v>
      </c>
      <c r="G79" s="155"/>
      <c r="H79" s="155">
        <f t="shared" si="7"/>
        <v>0</v>
      </c>
      <c r="I79" s="155"/>
      <c r="J79" s="363">
        <f t="shared" si="1"/>
        <v>100</v>
      </c>
    </row>
    <row r="80" spans="1:10" s="57" customFormat="1" ht="22.5">
      <c r="A80" s="477"/>
      <c r="B80" s="348"/>
      <c r="C80" s="132">
        <v>2310</v>
      </c>
      <c r="D80" s="130" t="s">
        <v>131</v>
      </c>
      <c r="E80" s="155">
        <v>6395.7</v>
      </c>
      <c r="F80" s="163">
        <v>6395.7</v>
      </c>
      <c r="G80" s="163"/>
      <c r="H80" s="163">
        <v>0</v>
      </c>
      <c r="I80" s="163"/>
      <c r="J80" s="363">
        <f t="shared" si="1"/>
        <v>100</v>
      </c>
    </row>
    <row r="81" spans="1:10" s="57" customFormat="1" ht="21.75" customHeight="1">
      <c r="A81" s="118">
        <v>756</v>
      </c>
      <c r="B81" s="115"/>
      <c r="C81" s="115"/>
      <c r="D81" s="116" t="s">
        <v>59</v>
      </c>
      <c r="E81" s="154">
        <f>E82+E88</f>
        <v>6376309</v>
      </c>
      <c r="F81" s="162">
        <f>F82+F88</f>
        <v>6495027.4199999999</v>
      </c>
      <c r="G81" s="162"/>
      <c r="H81" s="162">
        <v>0</v>
      </c>
      <c r="I81" s="162"/>
      <c r="J81" s="364">
        <f t="shared" si="1"/>
        <v>101.86186742204619</v>
      </c>
    </row>
    <row r="82" spans="1:10" s="57" customFormat="1" ht="22.5">
      <c r="A82" s="476" t="s">
        <v>11</v>
      </c>
      <c r="B82" s="137">
        <v>75618</v>
      </c>
      <c r="C82" s="137"/>
      <c r="D82" s="126" t="s">
        <v>164</v>
      </c>
      <c r="E82" s="159">
        <f>SUM(E83:E87)</f>
        <v>1438820</v>
      </c>
      <c r="F82" s="167">
        <f>SUM(F83:F87)</f>
        <v>1443964.6099999999</v>
      </c>
      <c r="G82" s="167"/>
      <c r="H82" s="167">
        <v>0</v>
      </c>
      <c r="I82" s="167"/>
      <c r="J82" s="365">
        <f t="shared" si="1"/>
        <v>100.35755758190739</v>
      </c>
    </row>
    <row r="83" spans="1:10" s="57" customFormat="1" ht="12">
      <c r="A83" s="477"/>
      <c r="B83" s="485"/>
      <c r="C83" s="119" t="s">
        <v>17</v>
      </c>
      <c r="D83" s="120" t="s">
        <v>18</v>
      </c>
      <c r="E83" s="156">
        <v>795820</v>
      </c>
      <c r="F83" s="164">
        <v>800041.25</v>
      </c>
      <c r="G83" s="164"/>
      <c r="H83" s="163">
        <v>0</v>
      </c>
      <c r="I83" s="163"/>
      <c r="J83" s="363">
        <f t="shared" si="1"/>
        <v>100.53042773491494</v>
      </c>
    </row>
    <row r="84" spans="1:10" s="57" customFormat="1" ht="22.5">
      <c r="A84" s="477"/>
      <c r="B84" s="486"/>
      <c r="C84" s="125" t="s">
        <v>165</v>
      </c>
      <c r="D84" s="126" t="s">
        <v>204</v>
      </c>
      <c r="E84" s="159">
        <v>630000</v>
      </c>
      <c r="F84" s="167">
        <v>625616.38</v>
      </c>
      <c r="G84" s="167"/>
      <c r="H84" s="163">
        <v>0</v>
      </c>
      <c r="I84" s="163"/>
      <c r="J84" s="363">
        <f t="shared" si="1"/>
        <v>99.304187301587305</v>
      </c>
    </row>
    <row r="85" spans="1:10" s="57" customFormat="1" ht="12">
      <c r="A85" s="477"/>
      <c r="B85" s="486"/>
      <c r="C85" s="119" t="s">
        <v>35</v>
      </c>
      <c r="D85" s="90" t="s">
        <v>36</v>
      </c>
      <c r="E85" s="156">
        <v>10000</v>
      </c>
      <c r="F85" s="164">
        <v>13522.85</v>
      </c>
      <c r="G85" s="164"/>
      <c r="H85" s="163">
        <v>0</v>
      </c>
      <c r="I85" s="163"/>
      <c r="J85" s="363">
        <f t="shared" si="1"/>
        <v>135.2285</v>
      </c>
    </row>
    <row r="86" spans="1:10" s="57" customFormat="1" ht="23.25" customHeight="1">
      <c r="A86" s="477"/>
      <c r="B86" s="486"/>
      <c r="C86" s="121" t="s">
        <v>20</v>
      </c>
      <c r="D86" s="87" t="s">
        <v>162</v>
      </c>
      <c r="E86" s="156">
        <v>3000</v>
      </c>
      <c r="F86" s="164">
        <v>3450</v>
      </c>
      <c r="G86" s="164"/>
      <c r="H86" s="163">
        <v>0</v>
      </c>
      <c r="I86" s="163"/>
      <c r="J86" s="363">
        <f t="shared" ref="J86:J161" si="8">(F86+H86)/E86*100</f>
        <v>114.99999999999999</v>
      </c>
    </row>
    <row r="87" spans="1:10" s="57" customFormat="1" ht="12">
      <c r="A87" s="477"/>
      <c r="B87" s="487"/>
      <c r="C87" s="122" t="s">
        <v>184</v>
      </c>
      <c r="D87" s="87" t="s">
        <v>187</v>
      </c>
      <c r="E87" s="156">
        <v>0</v>
      </c>
      <c r="F87" s="164">
        <v>1334.13</v>
      </c>
      <c r="G87" s="164"/>
      <c r="H87" s="163">
        <v>0</v>
      </c>
      <c r="I87" s="163"/>
      <c r="J87" s="363"/>
    </row>
    <row r="88" spans="1:10" s="57" customFormat="1" ht="12">
      <c r="A88" s="477"/>
      <c r="B88" s="144">
        <v>75622</v>
      </c>
      <c r="C88" s="131"/>
      <c r="D88" s="123" t="s">
        <v>77</v>
      </c>
      <c r="E88" s="157">
        <f>E89+E90</f>
        <v>4937489</v>
      </c>
      <c r="F88" s="165">
        <f>F89+F90</f>
        <v>5051062.8099999996</v>
      </c>
      <c r="G88" s="165"/>
      <c r="H88" s="163">
        <v>0</v>
      </c>
      <c r="I88" s="163"/>
      <c r="J88" s="363">
        <f t="shared" si="8"/>
        <v>102.3002341878635</v>
      </c>
    </row>
    <row r="89" spans="1:10" s="57" customFormat="1" ht="12">
      <c r="A89" s="477"/>
      <c r="B89" s="488"/>
      <c r="C89" s="112" t="s">
        <v>15</v>
      </c>
      <c r="D89" s="90" t="s">
        <v>14</v>
      </c>
      <c r="E89" s="155">
        <v>4813489</v>
      </c>
      <c r="F89" s="163">
        <v>4895554</v>
      </c>
      <c r="G89" s="163"/>
      <c r="H89" s="163">
        <v>0</v>
      </c>
      <c r="I89" s="163"/>
      <c r="J89" s="363">
        <f t="shared" si="8"/>
        <v>101.70489638596869</v>
      </c>
    </row>
    <row r="90" spans="1:10" s="57" customFormat="1" ht="12">
      <c r="A90" s="477"/>
      <c r="B90" s="489"/>
      <c r="C90" s="112" t="s">
        <v>50</v>
      </c>
      <c r="D90" s="90" t="s">
        <v>51</v>
      </c>
      <c r="E90" s="155">
        <v>124000</v>
      </c>
      <c r="F90" s="163">
        <v>155508.81</v>
      </c>
      <c r="G90" s="163"/>
      <c r="H90" s="163">
        <v>0</v>
      </c>
      <c r="I90" s="163"/>
      <c r="J90" s="363">
        <f t="shared" si="8"/>
        <v>125.4103306451613</v>
      </c>
    </row>
    <row r="91" spans="1:10" s="57" customFormat="1" ht="12">
      <c r="A91" s="124">
        <v>758</v>
      </c>
      <c r="B91" s="115"/>
      <c r="C91" s="113"/>
      <c r="D91" s="114" t="s">
        <v>31</v>
      </c>
      <c r="E91" s="154">
        <f>E92+E96+E98+E100+E94</f>
        <v>27846036.18</v>
      </c>
      <c r="F91" s="154">
        <f t="shared" ref="F91:H91" si="9">F92+F96+F98+F100+F94</f>
        <v>27852484.870000001</v>
      </c>
      <c r="G91" s="154"/>
      <c r="H91" s="154">
        <f t="shared" si="9"/>
        <v>0</v>
      </c>
      <c r="I91" s="154"/>
      <c r="J91" s="364">
        <f t="shared" si="8"/>
        <v>100.02315837686311</v>
      </c>
    </row>
    <row r="92" spans="1:10" s="57" customFormat="1" ht="12">
      <c r="A92" s="484"/>
      <c r="B92" s="132">
        <v>75801</v>
      </c>
      <c r="C92" s="112"/>
      <c r="D92" s="90" t="s">
        <v>78</v>
      </c>
      <c r="E92" s="155">
        <f>E93</f>
        <v>18292142</v>
      </c>
      <c r="F92" s="163">
        <f>F93</f>
        <v>18292142</v>
      </c>
      <c r="G92" s="163"/>
      <c r="H92" s="163">
        <v>0</v>
      </c>
      <c r="I92" s="163"/>
      <c r="J92" s="363">
        <f t="shared" si="8"/>
        <v>100</v>
      </c>
    </row>
    <row r="93" spans="1:10" s="57" customFormat="1" ht="12">
      <c r="A93" s="484"/>
      <c r="B93" s="132"/>
      <c r="C93" s="132">
        <v>2920</v>
      </c>
      <c r="D93" s="90" t="s">
        <v>16</v>
      </c>
      <c r="E93" s="155">
        <v>18292142</v>
      </c>
      <c r="F93" s="163">
        <v>18292142</v>
      </c>
      <c r="G93" s="163"/>
      <c r="H93" s="163">
        <v>0</v>
      </c>
      <c r="I93" s="163"/>
      <c r="J93" s="363">
        <f t="shared" si="8"/>
        <v>100</v>
      </c>
    </row>
    <row r="94" spans="1:10" s="57" customFormat="1" ht="12">
      <c r="A94" s="484"/>
      <c r="B94" s="349">
        <v>75802</v>
      </c>
      <c r="C94" s="349"/>
      <c r="D94" s="117" t="s">
        <v>358</v>
      </c>
      <c r="E94" s="155">
        <f>E95</f>
        <v>137061</v>
      </c>
      <c r="F94" s="163">
        <f>F95</f>
        <v>137061</v>
      </c>
      <c r="G94" s="163"/>
      <c r="H94" s="163">
        <v>0</v>
      </c>
      <c r="I94" s="163"/>
      <c r="J94" s="363">
        <f t="shared" si="8"/>
        <v>100</v>
      </c>
    </row>
    <row r="95" spans="1:10" s="57" customFormat="1" ht="12">
      <c r="A95" s="484"/>
      <c r="B95" s="349"/>
      <c r="C95" s="349">
        <v>2760</v>
      </c>
      <c r="D95" s="90" t="s">
        <v>357</v>
      </c>
      <c r="E95" s="155">
        <v>137061</v>
      </c>
      <c r="F95" s="163">
        <v>137061</v>
      </c>
      <c r="G95" s="163"/>
      <c r="H95" s="163">
        <v>0</v>
      </c>
      <c r="I95" s="163"/>
      <c r="J95" s="363">
        <f t="shared" si="8"/>
        <v>100</v>
      </c>
    </row>
    <row r="96" spans="1:10" s="57" customFormat="1" ht="12">
      <c r="A96" s="484"/>
      <c r="B96" s="132">
        <v>75803</v>
      </c>
      <c r="C96" s="112"/>
      <c r="D96" s="90" t="s">
        <v>79</v>
      </c>
      <c r="E96" s="155">
        <f>E97</f>
        <v>6370975</v>
      </c>
      <c r="F96" s="163">
        <f>F97</f>
        <v>6370975</v>
      </c>
      <c r="G96" s="163"/>
      <c r="H96" s="163">
        <v>0</v>
      </c>
      <c r="I96" s="163"/>
      <c r="J96" s="363">
        <f t="shared" si="8"/>
        <v>100</v>
      </c>
    </row>
    <row r="97" spans="1:10" s="57" customFormat="1" ht="12">
      <c r="A97" s="484"/>
      <c r="B97" s="132"/>
      <c r="C97" s="132">
        <v>2920</v>
      </c>
      <c r="D97" s="90" t="s">
        <v>16</v>
      </c>
      <c r="E97" s="155">
        <v>6370975</v>
      </c>
      <c r="F97" s="163">
        <v>6370975</v>
      </c>
      <c r="G97" s="163"/>
      <c r="H97" s="163">
        <v>0</v>
      </c>
      <c r="I97" s="163"/>
      <c r="J97" s="363">
        <f t="shared" si="8"/>
        <v>100</v>
      </c>
    </row>
    <row r="98" spans="1:10" s="57" customFormat="1" ht="12">
      <c r="A98" s="484"/>
      <c r="B98" s="132">
        <v>75814</v>
      </c>
      <c r="C98" s="132"/>
      <c r="D98" s="90" t="s">
        <v>80</v>
      </c>
      <c r="E98" s="155">
        <f>E99</f>
        <v>101654.18</v>
      </c>
      <c r="F98" s="163">
        <f>F99</f>
        <v>108102.87</v>
      </c>
      <c r="G98" s="163"/>
      <c r="H98" s="163">
        <v>0</v>
      </c>
      <c r="I98" s="163"/>
      <c r="J98" s="363">
        <f t="shared" si="8"/>
        <v>106.34375290814407</v>
      </c>
    </row>
    <row r="99" spans="1:10" s="57" customFormat="1" ht="12">
      <c r="A99" s="484"/>
      <c r="B99" s="132"/>
      <c r="C99" s="112" t="s">
        <v>47</v>
      </c>
      <c r="D99" s="90" t="s">
        <v>57</v>
      </c>
      <c r="E99" s="155">
        <v>101654.18</v>
      </c>
      <c r="F99" s="163">
        <v>108102.87</v>
      </c>
      <c r="G99" s="163"/>
      <c r="H99" s="163">
        <v>0</v>
      </c>
      <c r="I99" s="163"/>
      <c r="J99" s="363">
        <f t="shared" si="8"/>
        <v>106.34375290814407</v>
      </c>
    </row>
    <row r="100" spans="1:10" s="57" customFormat="1" ht="12">
      <c r="A100" s="484"/>
      <c r="B100" s="132">
        <v>75832</v>
      </c>
      <c r="C100" s="112"/>
      <c r="D100" s="90" t="s">
        <v>81</v>
      </c>
      <c r="E100" s="155">
        <f>E101</f>
        <v>2944204</v>
      </c>
      <c r="F100" s="163">
        <f>F101</f>
        <v>2944204</v>
      </c>
      <c r="G100" s="163"/>
      <c r="H100" s="163">
        <v>0</v>
      </c>
      <c r="I100" s="163"/>
      <c r="J100" s="363">
        <f t="shared" si="8"/>
        <v>100</v>
      </c>
    </row>
    <row r="101" spans="1:10" s="57" customFormat="1" ht="12">
      <c r="A101" s="484"/>
      <c r="B101" s="132"/>
      <c r="C101" s="132">
        <v>2920</v>
      </c>
      <c r="D101" s="90" t="s">
        <v>16</v>
      </c>
      <c r="E101" s="155">
        <v>2944204</v>
      </c>
      <c r="F101" s="163">
        <v>2944204</v>
      </c>
      <c r="G101" s="163"/>
      <c r="H101" s="163">
        <v>0</v>
      </c>
      <c r="I101" s="163"/>
      <c r="J101" s="363">
        <f t="shared" si="8"/>
        <v>100</v>
      </c>
    </row>
    <row r="102" spans="1:10" s="57" customFormat="1" ht="12">
      <c r="A102" s="118">
        <v>801</v>
      </c>
      <c r="B102" s="115"/>
      <c r="C102" s="115"/>
      <c r="D102" s="114" t="s">
        <v>52</v>
      </c>
      <c r="E102" s="154">
        <f>E103+E111+E121+E127+E131+E108+E133</f>
        <v>841648.72</v>
      </c>
      <c r="F102" s="154">
        <f t="shared" ref="F102:I102" si="10">F103+F111+F121+F127+F131+F108+F133</f>
        <v>490457.87</v>
      </c>
      <c r="G102" s="154"/>
      <c r="H102" s="154">
        <f t="shared" si="10"/>
        <v>372431.22000000003</v>
      </c>
      <c r="I102" s="154">
        <f t="shared" si="10"/>
        <v>308572.32</v>
      </c>
      <c r="J102" s="364">
        <f t="shared" si="8"/>
        <v>102.52366212830457</v>
      </c>
    </row>
    <row r="103" spans="1:10" s="57" customFormat="1" ht="12">
      <c r="A103" s="476"/>
      <c r="B103" s="133">
        <v>80102</v>
      </c>
      <c r="C103" s="132"/>
      <c r="D103" s="90" t="s">
        <v>39</v>
      </c>
      <c r="E103" s="155">
        <f>SUM(E104:E107)</f>
        <v>88222.64</v>
      </c>
      <c r="F103" s="155">
        <f t="shared" ref="F103:H103" si="11">SUM(F104:F107)</f>
        <v>25820.400000000001</v>
      </c>
      <c r="G103" s="155"/>
      <c r="H103" s="155">
        <f t="shared" si="11"/>
        <v>63850</v>
      </c>
      <c r="I103" s="155"/>
      <c r="J103" s="363">
        <f t="shared" si="8"/>
        <v>101.64103001225082</v>
      </c>
    </row>
    <row r="104" spans="1:10" s="57" customFormat="1" ht="22.5" customHeight="1">
      <c r="A104" s="477"/>
      <c r="B104" s="476"/>
      <c r="C104" s="112" t="s">
        <v>20</v>
      </c>
      <c r="D104" s="87" t="s">
        <v>162</v>
      </c>
      <c r="E104" s="155">
        <v>5800</v>
      </c>
      <c r="F104" s="163">
        <v>4490</v>
      </c>
      <c r="G104" s="163"/>
      <c r="H104" s="163">
        <v>0</v>
      </c>
      <c r="I104" s="163"/>
      <c r="J104" s="363">
        <f t="shared" si="8"/>
        <v>77.413793103448285</v>
      </c>
    </row>
    <row r="105" spans="1:10" s="57" customFormat="1" ht="12">
      <c r="A105" s="477"/>
      <c r="B105" s="477"/>
      <c r="C105" s="112" t="s">
        <v>47</v>
      </c>
      <c r="D105" s="87" t="s">
        <v>57</v>
      </c>
      <c r="E105" s="155">
        <v>450</v>
      </c>
      <c r="F105" s="163">
        <v>930.99</v>
      </c>
      <c r="G105" s="163"/>
      <c r="H105" s="163">
        <v>0</v>
      </c>
      <c r="I105" s="163"/>
      <c r="J105" s="363">
        <f t="shared" si="8"/>
        <v>206.88666666666666</v>
      </c>
    </row>
    <row r="106" spans="1:10" s="57" customFormat="1" ht="12">
      <c r="A106" s="477"/>
      <c r="B106" s="477"/>
      <c r="C106" s="112" t="s">
        <v>54</v>
      </c>
      <c r="D106" s="87" t="s">
        <v>56</v>
      </c>
      <c r="E106" s="155">
        <v>18122.64</v>
      </c>
      <c r="F106" s="163">
        <v>20399.41</v>
      </c>
      <c r="G106" s="163"/>
      <c r="H106" s="163">
        <v>0</v>
      </c>
      <c r="I106" s="163"/>
      <c r="J106" s="363">
        <f t="shared" si="8"/>
        <v>112.56312546074965</v>
      </c>
    </row>
    <row r="107" spans="1:10" s="57" customFormat="1" ht="22.5">
      <c r="A107" s="477"/>
      <c r="B107" s="478"/>
      <c r="C107" s="112">
        <v>6430</v>
      </c>
      <c r="D107" s="87" t="s">
        <v>356</v>
      </c>
      <c r="E107" s="155">
        <v>63850</v>
      </c>
      <c r="F107" s="163">
        <v>0</v>
      </c>
      <c r="G107" s="163"/>
      <c r="H107" s="163">
        <v>63850</v>
      </c>
      <c r="I107" s="163"/>
      <c r="J107" s="363">
        <f t="shared" si="8"/>
        <v>100</v>
      </c>
    </row>
    <row r="108" spans="1:10" s="57" customFormat="1" ht="12">
      <c r="A108" s="477"/>
      <c r="B108" s="146">
        <v>80111</v>
      </c>
      <c r="C108" s="112"/>
      <c r="D108" s="87" t="s">
        <v>109</v>
      </c>
      <c r="E108" s="155">
        <f>E110+E109</f>
        <v>315422.08000000002</v>
      </c>
      <c r="F108" s="155">
        <f t="shared" ref="F108:H108" si="12">F110+F109</f>
        <v>6849.75</v>
      </c>
      <c r="G108" s="155"/>
      <c r="H108" s="155">
        <f t="shared" si="12"/>
        <v>308572.32</v>
      </c>
      <c r="I108" s="155">
        <f>H108</f>
        <v>308572.32</v>
      </c>
      <c r="J108" s="363">
        <f t="shared" si="8"/>
        <v>99.9999968296449</v>
      </c>
    </row>
    <row r="109" spans="1:10" s="57" customFormat="1" ht="12">
      <c r="A109" s="477"/>
      <c r="B109" s="476"/>
      <c r="C109" s="112" t="s">
        <v>54</v>
      </c>
      <c r="D109" s="87" t="s">
        <v>56</v>
      </c>
      <c r="E109" s="155">
        <v>6849.75</v>
      </c>
      <c r="F109" s="163">
        <v>6849.75</v>
      </c>
      <c r="G109" s="163"/>
      <c r="H109" s="163">
        <v>0</v>
      </c>
      <c r="I109" s="163"/>
      <c r="J109" s="363">
        <f t="shared" si="8"/>
        <v>100</v>
      </c>
    </row>
    <row r="110" spans="1:10" s="57" customFormat="1" ht="33.75">
      <c r="A110" s="477"/>
      <c r="B110" s="478"/>
      <c r="C110" s="112">
        <v>6207</v>
      </c>
      <c r="D110" s="87" t="s">
        <v>205</v>
      </c>
      <c r="E110" s="155">
        <v>308572.33</v>
      </c>
      <c r="F110" s="163">
        <v>0</v>
      </c>
      <c r="G110" s="163"/>
      <c r="H110" s="163">
        <v>308572.32</v>
      </c>
      <c r="I110" s="163">
        <f>H110</f>
        <v>308572.32</v>
      </c>
      <c r="J110" s="363">
        <f t="shared" si="8"/>
        <v>99.999996759268726</v>
      </c>
    </row>
    <row r="111" spans="1:10" s="57" customFormat="1" ht="12">
      <c r="A111" s="477"/>
      <c r="B111" s="133">
        <v>80120</v>
      </c>
      <c r="C111" s="132"/>
      <c r="D111" s="90" t="s">
        <v>45</v>
      </c>
      <c r="E111" s="158">
        <f>SUM(E112:E120)</f>
        <v>66925.53</v>
      </c>
      <c r="F111" s="158">
        <f t="shared" ref="F111:H111" si="13">SUM(F112:F120)</f>
        <v>83893.409999999989</v>
      </c>
      <c r="G111" s="158"/>
      <c r="H111" s="158">
        <f t="shared" si="13"/>
        <v>8.9</v>
      </c>
      <c r="I111" s="158"/>
      <c r="J111" s="363">
        <f t="shared" si="8"/>
        <v>125.36667247909728</v>
      </c>
    </row>
    <row r="112" spans="1:10" s="57" customFormat="1" ht="12">
      <c r="A112" s="477"/>
      <c r="B112" s="476"/>
      <c r="C112" s="112" t="s">
        <v>35</v>
      </c>
      <c r="D112" s="90" t="s">
        <v>36</v>
      </c>
      <c r="E112" s="155">
        <v>591.97</v>
      </c>
      <c r="F112" s="163">
        <v>618.97</v>
      </c>
      <c r="G112" s="163"/>
      <c r="H112" s="163">
        <v>0</v>
      </c>
      <c r="I112" s="163"/>
      <c r="J112" s="363">
        <f t="shared" si="8"/>
        <v>104.56104194469313</v>
      </c>
    </row>
    <row r="113" spans="1:10" s="57" customFormat="1" ht="21.75" customHeight="1">
      <c r="A113" s="477"/>
      <c r="B113" s="477"/>
      <c r="C113" s="112" t="s">
        <v>20</v>
      </c>
      <c r="D113" s="87" t="s">
        <v>162</v>
      </c>
      <c r="E113" s="155">
        <v>56332.56</v>
      </c>
      <c r="F113" s="163">
        <v>71743.539999999994</v>
      </c>
      <c r="G113" s="163"/>
      <c r="H113" s="163">
        <v>0</v>
      </c>
      <c r="I113" s="163"/>
      <c r="J113" s="363">
        <f t="shared" si="8"/>
        <v>127.35714478447278</v>
      </c>
    </row>
    <row r="114" spans="1:10" s="57" customFormat="1" ht="12">
      <c r="A114" s="477"/>
      <c r="B114" s="477"/>
      <c r="C114" s="112" t="s">
        <v>53</v>
      </c>
      <c r="D114" s="87" t="s">
        <v>55</v>
      </c>
      <c r="E114" s="155">
        <v>600</v>
      </c>
      <c r="F114" s="163">
        <v>1554.4</v>
      </c>
      <c r="G114" s="163"/>
      <c r="H114" s="163">
        <v>0</v>
      </c>
      <c r="I114" s="163"/>
      <c r="J114" s="363">
        <f t="shared" si="8"/>
        <v>259.06666666666666</v>
      </c>
    </row>
    <row r="115" spans="1:10" s="57" customFormat="1" ht="12">
      <c r="A115" s="477"/>
      <c r="B115" s="477"/>
      <c r="C115" s="112" t="s">
        <v>185</v>
      </c>
      <c r="D115" s="87" t="s">
        <v>188</v>
      </c>
      <c r="E115" s="155">
        <v>0</v>
      </c>
      <c r="F115" s="163">
        <v>0</v>
      </c>
      <c r="G115" s="163"/>
      <c r="H115" s="163">
        <v>8.9</v>
      </c>
      <c r="I115" s="163"/>
      <c r="J115" s="363"/>
    </row>
    <row r="116" spans="1:10" s="57" customFormat="1" ht="22.5">
      <c r="A116" s="477"/>
      <c r="B116" s="477"/>
      <c r="C116" s="112" t="s">
        <v>186</v>
      </c>
      <c r="D116" s="87" t="s">
        <v>189</v>
      </c>
      <c r="E116" s="155">
        <v>0</v>
      </c>
      <c r="F116" s="163">
        <v>96</v>
      </c>
      <c r="G116" s="163"/>
      <c r="H116" s="163">
        <v>0</v>
      </c>
      <c r="I116" s="163"/>
      <c r="J116" s="363"/>
    </row>
    <row r="117" spans="1:10" s="57" customFormat="1" ht="12">
      <c r="A117" s="477"/>
      <c r="B117" s="477"/>
      <c r="C117" s="112" t="s">
        <v>47</v>
      </c>
      <c r="D117" s="87" t="s">
        <v>57</v>
      </c>
      <c r="E117" s="155">
        <v>920</v>
      </c>
      <c r="F117" s="163">
        <v>1029.9100000000001</v>
      </c>
      <c r="G117" s="163"/>
      <c r="H117" s="163">
        <v>0</v>
      </c>
      <c r="I117" s="163"/>
      <c r="J117" s="363">
        <f t="shared" si="8"/>
        <v>111.94673913043481</v>
      </c>
    </row>
    <row r="118" spans="1:10" s="57" customFormat="1" ht="12">
      <c r="A118" s="477"/>
      <c r="B118" s="477"/>
      <c r="C118" s="112" t="s">
        <v>54</v>
      </c>
      <c r="D118" s="87" t="s">
        <v>56</v>
      </c>
      <c r="E118" s="155">
        <v>5531</v>
      </c>
      <c r="F118" s="163">
        <v>5550.59</v>
      </c>
      <c r="G118" s="163"/>
      <c r="H118" s="163">
        <v>0</v>
      </c>
      <c r="I118" s="163"/>
      <c r="J118" s="363">
        <f t="shared" si="8"/>
        <v>100.3541854999096</v>
      </c>
    </row>
    <row r="119" spans="1:10" s="57" customFormat="1" ht="22.5">
      <c r="A119" s="477"/>
      <c r="B119" s="477"/>
      <c r="C119" s="112">
        <v>2710</v>
      </c>
      <c r="D119" s="87" t="s">
        <v>479</v>
      </c>
      <c r="E119" s="155">
        <v>2950</v>
      </c>
      <c r="F119" s="163">
        <v>2950</v>
      </c>
      <c r="G119" s="163"/>
      <c r="H119" s="163">
        <v>0</v>
      </c>
      <c r="I119" s="163"/>
      <c r="J119" s="363">
        <f t="shared" si="8"/>
        <v>100</v>
      </c>
    </row>
    <row r="120" spans="1:10" s="57" customFormat="1" ht="22.5">
      <c r="A120" s="477"/>
      <c r="B120" s="478"/>
      <c r="C120" s="112">
        <v>2910</v>
      </c>
      <c r="D120" s="87" t="s">
        <v>132</v>
      </c>
      <c r="E120" s="155">
        <v>0</v>
      </c>
      <c r="F120" s="163">
        <v>350</v>
      </c>
      <c r="G120" s="163"/>
      <c r="H120" s="163">
        <v>0</v>
      </c>
      <c r="I120" s="163"/>
      <c r="J120" s="363"/>
    </row>
    <row r="121" spans="1:10" s="57" customFormat="1" ht="12">
      <c r="A121" s="477"/>
      <c r="B121" s="148">
        <v>80130</v>
      </c>
      <c r="C121" s="132"/>
      <c r="D121" s="90" t="s">
        <v>41</v>
      </c>
      <c r="E121" s="158">
        <f>SUM(E122:E126)</f>
        <v>90552.47</v>
      </c>
      <c r="F121" s="166">
        <f>SUM(F122:F126)</f>
        <v>90916.58</v>
      </c>
      <c r="G121" s="166"/>
      <c r="H121" s="163">
        <v>0</v>
      </c>
      <c r="I121" s="163"/>
      <c r="J121" s="363">
        <f t="shared" si="8"/>
        <v>100.40209836352338</v>
      </c>
    </row>
    <row r="122" spans="1:10" s="57" customFormat="1" ht="12">
      <c r="A122" s="477"/>
      <c r="B122" s="477"/>
      <c r="C122" s="121" t="s">
        <v>35</v>
      </c>
      <c r="D122" s="90" t="s">
        <v>36</v>
      </c>
      <c r="E122" s="155">
        <v>2135.0300000000002</v>
      </c>
      <c r="F122" s="163">
        <v>2218.0300000000002</v>
      </c>
      <c r="G122" s="163"/>
      <c r="H122" s="163">
        <v>0</v>
      </c>
      <c r="I122" s="163"/>
      <c r="J122" s="363">
        <f t="shared" si="8"/>
        <v>103.88753319625485</v>
      </c>
    </row>
    <row r="123" spans="1:10" s="57" customFormat="1" ht="22.5" customHeight="1">
      <c r="A123" s="477"/>
      <c r="B123" s="477"/>
      <c r="C123" s="121" t="s">
        <v>20</v>
      </c>
      <c r="D123" s="87" t="s">
        <v>162</v>
      </c>
      <c r="E123" s="155">
        <v>57985.440000000002</v>
      </c>
      <c r="F123" s="163">
        <v>58053.4</v>
      </c>
      <c r="G123" s="163"/>
      <c r="H123" s="163">
        <v>0</v>
      </c>
      <c r="I123" s="163"/>
      <c r="J123" s="363">
        <f t="shared" si="8"/>
        <v>100.11720183549527</v>
      </c>
    </row>
    <row r="124" spans="1:10" s="57" customFormat="1" ht="12">
      <c r="A124" s="477"/>
      <c r="B124" s="477"/>
      <c r="C124" s="121" t="s">
        <v>53</v>
      </c>
      <c r="D124" s="87" t="s">
        <v>55</v>
      </c>
      <c r="E124" s="155">
        <v>13214</v>
      </c>
      <c r="F124" s="163">
        <v>13213.84</v>
      </c>
      <c r="G124" s="163"/>
      <c r="H124" s="163">
        <v>0</v>
      </c>
      <c r="I124" s="163"/>
      <c r="J124" s="363">
        <f t="shared" si="8"/>
        <v>99.998789163008922</v>
      </c>
    </row>
    <row r="125" spans="1:10" s="57" customFormat="1" ht="12">
      <c r="A125" s="477"/>
      <c r="B125" s="477"/>
      <c r="C125" s="121" t="s">
        <v>47</v>
      </c>
      <c r="D125" s="87" t="s">
        <v>57</v>
      </c>
      <c r="E125" s="155">
        <v>2566</v>
      </c>
      <c r="F125" s="163">
        <v>2831.73</v>
      </c>
      <c r="G125" s="163"/>
      <c r="H125" s="163">
        <v>0</v>
      </c>
      <c r="I125" s="163"/>
      <c r="J125" s="363">
        <f t="shared" si="8"/>
        <v>110.35580670303975</v>
      </c>
    </row>
    <row r="126" spans="1:10" s="57" customFormat="1" ht="12">
      <c r="A126" s="477"/>
      <c r="B126" s="477"/>
      <c r="C126" s="121" t="s">
        <v>54</v>
      </c>
      <c r="D126" s="87" t="s">
        <v>56</v>
      </c>
      <c r="E126" s="155">
        <v>14652</v>
      </c>
      <c r="F126" s="163">
        <v>14599.58</v>
      </c>
      <c r="G126" s="163"/>
      <c r="H126" s="163">
        <v>0</v>
      </c>
      <c r="I126" s="163"/>
      <c r="J126" s="363">
        <f t="shared" si="8"/>
        <v>99.642233142233138</v>
      </c>
    </row>
    <row r="127" spans="1:10" s="57" customFormat="1" ht="13.5" customHeight="1">
      <c r="A127" s="477"/>
      <c r="B127" s="132">
        <v>80140</v>
      </c>
      <c r="C127" s="121"/>
      <c r="D127" s="87" t="s">
        <v>166</v>
      </c>
      <c r="E127" s="155">
        <f>E128+E129+E130</f>
        <v>103953</v>
      </c>
      <c r="F127" s="163">
        <f>SUM(F128:F130)</f>
        <v>104247.63</v>
      </c>
      <c r="G127" s="163"/>
      <c r="H127" s="163">
        <v>0</v>
      </c>
      <c r="I127" s="163"/>
      <c r="J127" s="363">
        <f t="shared" si="8"/>
        <v>100.28342616374708</v>
      </c>
    </row>
    <row r="128" spans="1:10" s="57" customFormat="1" ht="23.25" customHeight="1">
      <c r="A128" s="477"/>
      <c r="B128" s="476"/>
      <c r="C128" s="121" t="s">
        <v>20</v>
      </c>
      <c r="D128" s="87" t="s">
        <v>162</v>
      </c>
      <c r="E128" s="155">
        <v>50000</v>
      </c>
      <c r="F128" s="163">
        <v>50152.31</v>
      </c>
      <c r="G128" s="163"/>
      <c r="H128" s="163">
        <v>0</v>
      </c>
      <c r="I128" s="163"/>
      <c r="J128" s="363">
        <f t="shared" si="8"/>
        <v>100.30462</v>
      </c>
    </row>
    <row r="129" spans="1:10" s="57" customFormat="1" ht="12">
      <c r="A129" s="477"/>
      <c r="B129" s="477"/>
      <c r="C129" s="121" t="s">
        <v>53</v>
      </c>
      <c r="D129" s="87" t="s">
        <v>55</v>
      </c>
      <c r="E129" s="155">
        <v>53006</v>
      </c>
      <c r="F129" s="163">
        <v>53033.83</v>
      </c>
      <c r="G129" s="163"/>
      <c r="H129" s="163">
        <v>0</v>
      </c>
      <c r="I129" s="163"/>
      <c r="J129" s="363">
        <f t="shared" si="8"/>
        <v>100.05250349017092</v>
      </c>
    </row>
    <row r="130" spans="1:10" s="57" customFormat="1" ht="12">
      <c r="A130" s="477"/>
      <c r="B130" s="477"/>
      <c r="C130" s="121" t="s">
        <v>47</v>
      </c>
      <c r="D130" s="87" t="s">
        <v>57</v>
      </c>
      <c r="E130" s="155">
        <v>947</v>
      </c>
      <c r="F130" s="163">
        <v>1061.49</v>
      </c>
      <c r="G130" s="163"/>
      <c r="H130" s="163">
        <v>0</v>
      </c>
      <c r="I130" s="163"/>
      <c r="J130" s="363">
        <f t="shared" si="8"/>
        <v>112.08975712777192</v>
      </c>
    </row>
    <row r="131" spans="1:10" s="57" customFormat="1" ht="12">
      <c r="A131" s="477"/>
      <c r="B131" s="144">
        <v>80148</v>
      </c>
      <c r="C131" s="121"/>
      <c r="D131" s="87" t="s">
        <v>168</v>
      </c>
      <c r="E131" s="155">
        <f>E132</f>
        <v>175773</v>
      </c>
      <c r="F131" s="163">
        <f>F132</f>
        <v>177930.1</v>
      </c>
      <c r="G131" s="163"/>
      <c r="H131" s="163">
        <v>0</v>
      </c>
      <c r="I131" s="163"/>
      <c r="J131" s="363">
        <f t="shared" si="8"/>
        <v>101.22720781917587</v>
      </c>
    </row>
    <row r="132" spans="1:10" s="57" customFormat="1" ht="12">
      <c r="A132" s="477"/>
      <c r="B132" s="131"/>
      <c r="C132" s="121" t="s">
        <v>53</v>
      </c>
      <c r="D132" s="87" t="s">
        <v>55</v>
      </c>
      <c r="E132" s="155">
        <v>175773</v>
      </c>
      <c r="F132" s="163">
        <v>177930.1</v>
      </c>
      <c r="G132" s="163"/>
      <c r="H132" s="163">
        <v>0</v>
      </c>
      <c r="I132" s="163"/>
      <c r="J132" s="363">
        <f t="shared" si="8"/>
        <v>101.22720781917587</v>
      </c>
    </row>
    <row r="133" spans="1:10" s="57" customFormat="1" ht="12">
      <c r="A133" s="477"/>
      <c r="B133" s="254">
        <v>80195</v>
      </c>
      <c r="C133" s="121"/>
      <c r="D133" s="87" t="s">
        <v>72</v>
      </c>
      <c r="E133" s="155">
        <f>E134</f>
        <v>800</v>
      </c>
      <c r="F133" s="163">
        <f>F134</f>
        <v>800</v>
      </c>
      <c r="G133" s="163"/>
      <c r="H133" s="163">
        <f>H134</f>
        <v>0</v>
      </c>
      <c r="I133" s="163"/>
      <c r="J133" s="363">
        <f t="shared" si="8"/>
        <v>100</v>
      </c>
    </row>
    <row r="134" spans="1:10" s="57" customFormat="1" ht="11.25" customHeight="1">
      <c r="A134" s="478"/>
      <c r="B134" s="254"/>
      <c r="C134" s="112">
        <v>2130</v>
      </c>
      <c r="D134" s="87" t="s">
        <v>23</v>
      </c>
      <c r="E134" s="155">
        <v>800</v>
      </c>
      <c r="F134" s="163">
        <v>800</v>
      </c>
      <c r="G134" s="163"/>
      <c r="H134" s="163">
        <v>0</v>
      </c>
      <c r="I134" s="163"/>
      <c r="J134" s="363">
        <f t="shared" si="8"/>
        <v>100</v>
      </c>
    </row>
    <row r="135" spans="1:10" s="57" customFormat="1" ht="12">
      <c r="A135" s="115">
        <v>851</v>
      </c>
      <c r="B135" s="115"/>
      <c r="C135" s="115"/>
      <c r="D135" s="114" t="s">
        <v>32</v>
      </c>
      <c r="E135" s="154">
        <f>E140+E137+E138+E142</f>
        <v>2483622.6800000002</v>
      </c>
      <c r="F135" s="154">
        <f t="shared" ref="F135:H135" si="14">F140+F137+F138+F142</f>
        <v>2463409.09</v>
      </c>
      <c r="G135" s="154"/>
      <c r="H135" s="154">
        <f t="shared" si="14"/>
        <v>20000</v>
      </c>
      <c r="I135" s="154"/>
      <c r="J135" s="364">
        <f t="shared" si="8"/>
        <v>99.991400062428141</v>
      </c>
    </row>
    <row r="136" spans="1:10" s="350" customFormat="1" ht="12">
      <c r="A136" s="485"/>
      <c r="B136" s="137">
        <v>85111</v>
      </c>
      <c r="C136" s="137"/>
      <c r="D136" s="351" t="s">
        <v>83</v>
      </c>
      <c r="E136" s="159">
        <f>E137</f>
        <v>20000</v>
      </c>
      <c r="F136" s="167">
        <f>F137</f>
        <v>0</v>
      </c>
      <c r="G136" s="167"/>
      <c r="H136" s="167">
        <f>H137</f>
        <v>20000</v>
      </c>
      <c r="I136" s="167"/>
      <c r="J136" s="363">
        <f t="shared" si="8"/>
        <v>100</v>
      </c>
    </row>
    <row r="137" spans="1:10" s="350" customFormat="1" ht="33.75">
      <c r="A137" s="486"/>
      <c r="B137" s="137"/>
      <c r="C137" s="137">
        <v>6300</v>
      </c>
      <c r="D137" s="87" t="s">
        <v>480</v>
      </c>
      <c r="E137" s="159">
        <v>20000</v>
      </c>
      <c r="F137" s="167">
        <v>0</v>
      </c>
      <c r="G137" s="167"/>
      <c r="H137" s="167">
        <v>20000</v>
      </c>
      <c r="I137" s="167"/>
      <c r="J137" s="363">
        <f t="shared" si="8"/>
        <v>100</v>
      </c>
    </row>
    <row r="138" spans="1:10" s="350" customFormat="1" ht="12">
      <c r="A138" s="486"/>
      <c r="B138" s="137">
        <v>85132</v>
      </c>
      <c r="C138" s="137"/>
      <c r="D138" s="351" t="s">
        <v>359</v>
      </c>
      <c r="E138" s="159">
        <f>E139</f>
        <v>500</v>
      </c>
      <c r="F138" s="167">
        <f>F139</f>
        <v>499.94</v>
      </c>
      <c r="G138" s="167"/>
      <c r="H138" s="167">
        <f>H139</f>
        <v>0</v>
      </c>
      <c r="I138" s="167"/>
      <c r="J138" s="363">
        <f t="shared" si="8"/>
        <v>99.988</v>
      </c>
    </row>
    <row r="139" spans="1:10" s="350" customFormat="1" ht="22.5">
      <c r="A139" s="486"/>
      <c r="B139" s="137"/>
      <c r="C139" s="137">
        <v>2710</v>
      </c>
      <c r="D139" s="87" t="s">
        <v>479</v>
      </c>
      <c r="E139" s="159">
        <v>500</v>
      </c>
      <c r="F139" s="167">
        <v>499.94</v>
      </c>
      <c r="G139" s="167"/>
      <c r="H139" s="167">
        <v>0</v>
      </c>
      <c r="I139" s="167"/>
      <c r="J139" s="363">
        <f t="shared" si="8"/>
        <v>99.988</v>
      </c>
    </row>
    <row r="140" spans="1:10" s="57" customFormat="1" ht="12">
      <c r="A140" s="486"/>
      <c r="B140" s="132">
        <v>85156</v>
      </c>
      <c r="C140" s="132"/>
      <c r="D140" s="91" t="s">
        <v>85</v>
      </c>
      <c r="E140" s="155">
        <f>E141</f>
        <v>2421083.6800000002</v>
      </c>
      <c r="F140" s="163">
        <f>F141</f>
        <v>2420870.12</v>
      </c>
      <c r="G140" s="163"/>
      <c r="H140" s="163">
        <v>0</v>
      </c>
      <c r="I140" s="163"/>
      <c r="J140" s="363">
        <f t="shared" si="8"/>
        <v>99.991179156599813</v>
      </c>
    </row>
    <row r="141" spans="1:10" s="57" customFormat="1" ht="22.5">
      <c r="A141" s="486"/>
      <c r="B141" s="132"/>
      <c r="C141" s="132">
        <v>2110</v>
      </c>
      <c r="D141" s="87" t="s">
        <v>63</v>
      </c>
      <c r="E141" s="155">
        <v>2421083.6800000002</v>
      </c>
      <c r="F141" s="163">
        <v>2420870.12</v>
      </c>
      <c r="G141" s="163"/>
      <c r="H141" s="163">
        <v>0</v>
      </c>
      <c r="I141" s="163"/>
      <c r="J141" s="363">
        <f t="shared" si="8"/>
        <v>99.991179156599813</v>
      </c>
    </row>
    <row r="142" spans="1:10" s="57" customFormat="1" ht="12">
      <c r="A142" s="486"/>
      <c r="B142" s="349">
        <v>85195</v>
      </c>
      <c r="C142" s="349"/>
      <c r="D142" s="87" t="s">
        <v>72</v>
      </c>
      <c r="E142" s="155">
        <f>E143</f>
        <v>42039</v>
      </c>
      <c r="F142" s="163">
        <f>F143</f>
        <v>42039.03</v>
      </c>
      <c r="G142" s="163"/>
      <c r="H142" s="163">
        <f>H143</f>
        <v>0</v>
      </c>
      <c r="I142" s="163"/>
      <c r="J142" s="363">
        <f t="shared" si="8"/>
        <v>100.00007136230641</v>
      </c>
    </row>
    <row r="143" spans="1:10" s="57" customFormat="1" ht="14.25" customHeight="1">
      <c r="A143" s="487"/>
      <c r="B143" s="349"/>
      <c r="C143" s="112" t="s">
        <v>54</v>
      </c>
      <c r="D143" s="87" t="s">
        <v>56</v>
      </c>
      <c r="E143" s="155">
        <v>42039</v>
      </c>
      <c r="F143" s="163">
        <v>42039.03</v>
      </c>
      <c r="G143" s="163"/>
      <c r="H143" s="163">
        <v>0</v>
      </c>
      <c r="I143" s="163"/>
      <c r="J143" s="363">
        <f t="shared" si="8"/>
        <v>100.00007136230641</v>
      </c>
    </row>
    <row r="144" spans="1:10" s="57" customFormat="1" ht="12">
      <c r="A144" s="115">
        <v>852</v>
      </c>
      <c r="B144" s="115"/>
      <c r="C144" s="115"/>
      <c r="D144" s="116" t="s">
        <v>33</v>
      </c>
      <c r="E144" s="154">
        <f>E145+E152+E154+E161+E168+E174+E165+E176</f>
        <v>5413501.7199999997</v>
      </c>
      <c r="F144" s="154">
        <f t="shared" ref="F144:H144" si="15">F145+F152+F154+F161+F168+F174+F165+F176</f>
        <v>5433070.7699999996</v>
      </c>
      <c r="G144" s="154"/>
      <c r="H144" s="154">
        <f t="shared" si="15"/>
        <v>0</v>
      </c>
      <c r="I144" s="154"/>
      <c r="J144" s="364">
        <f t="shared" si="8"/>
        <v>100.36148598471304</v>
      </c>
    </row>
    <row r="145" spans="1:10" s="57" customFormat="1" ht="12">
      <c r="A145" s="476" t="s">
        <v>11</v>
      </c>
      <c r="B145" s="132">
        <v>85201</v>
      </c>
      <c r="C145" s="132"/>
      <c r="D145" s="87" t="s">
        <v>86</v>
      </c>
      <c r="E145" s="159">
        <f>SUM(E146:E151)</f>
        <v>2646446.35</v>
      </c>
      <c r="F145" s="167">
        <f>SUM(F146:F151)</f>
        <v>2642861.8400000003</v>
      </c>
      <c r="G145" s="167"/>
      <c r="H145" s="163">
        <v>0</v>
      </c>
      <c r="I145" s="163"/>
      <c r="J145" s="363">
        <f t="shared" si="8"/>
        <v>99.864553838395409</v>
      </c>
    </row>
    <row r="146" spans="1:10" s="57" customFormat="1" ht="12">
      <c r="A146" s="477"/>
      <c r="B146" s="476"/>
      <c r="C146" s="112" t="s">
        <v>127</v>
      </c>
      <c r="D146" s="92" t="s">
        <v>155</v>
      </c>
      <c r="E146" s="155">
        <v>8400</v>
      </c>
      <c r="F146" s="163">
        <v>8400</v>
      </c>
      <c r="G146" s="163"/>
      <c r="H146" s="163">
        <v>0</v>
      </c>
      <c r="I146" s="163"/>
      <c r="J146" s="363">
        <f t="shared" si="8"/>
        <v>100</v>
      </c>
    </row>
    <row r="147" spans="1:10" s="57" customFormat="1" ht="22.5">
      <c r="A147" s="477"/>
      <c r="B147" s="477"/>
      <c r="C147" s="112" t="s">
        <v>144</v>
      </c>
      <c r="D147" s="87" t="s">
        <v>152</v>
      </c>
      <c r="E147" s="155">
        <v>8836.61</v>
      </c>
      <c r="F147" s="163">
        <v>9864.92</v>
      </c>
      <c r="G147" s="163"/>
      <c r="H147" s="163">
        <v>0</v>
      </c>
      <c r="I147" s="163"/>
      <c r="J147" s="363">
        <f t="shared" si="8"/>
        <v>111.63692864118705</v>
      </c>
    </row>
    <row r="148" spans="1:10" s="57" customFormat="1" ht="12">
      <c r="A148" s="477"/>
      <c r="B148" s="477"/>
      <c r="C148" s="112" t="s">
        <v>53</v>
      </c>
      <c r="D148" s="87" t="s">
        <v>55</v>
      </c>
      <c r="E148" s="155">
        <v>12033.77</v>
      </c>
      <c r="F148" s="163">
        <v>12034.74</v>
      </c>
      <c r="G148" s="163"/>
      <c r="H148" s="163">
        <v>0</v>
      </c>
      <c r="I148" s="163"/>
      <c r="J148" s="363">
        <f t="shared" si="8"/>
        <v>100.00806064932269</v>
      </c>
    </row>
    <row r="149" spans="1:10" s="57" customFormat="1" ht="12">
      <c r="A149" s="477"/>
      <c r="B149" s="477"/>
      <c r="C149" s="112" t="s">
        <v>47</v>
      </c>
      <c r="D149" s="87" t="s">
        <v>57</v>
      </c>
      <c r="E149" s="155">
        <v>3581.16</v>
      </c>
      <c r="F149" s="163">
        <v>3987.75</v>
      </c>
      <c r="G149" s="163"/>
      <c r="H149" s="163">
        <v>0</v>
      </c>
      <c r="I149" s="163"/>
      <c r="J149" s="363">
        <f t="shared" si="8"/>
        <v>111.35358375498443</v>
      </c>
    </row>
    <row r="150" spans="1:10" s="57" customFormat="1" ht="12">
      <c r="A150" s="477"/>
      <c r="B150" s="477"/>
      <c r="C150" s="112" t="s">
        <v>98</v>
      </c>
      <c r="D150" s="87" t="s">
        <v>151</v>
      </c>
      <c r="E150" s="155">
        <v>4325</v>
      </c>
      <c r="F150" s="163">
        <v>4325</v>
      </c>
      <c r="G150" s="163"/>
      <c r="H150" s="163">
        <v>0</v>
      </c>
      <c r="I150" s="163"/>
      <c r="J150" s="363">
        <f t="shared" si="8"/>
        <v>100</v>
      </c>
    </row>
    <row r="151" spans="1:10" s="57" customFormat="1" ht="21.75" customHeight="1">
      <c r="A151" s="477"/>
      <c r="B151" s="477"/>
      <c r="C151" s="132">
        <v>2320</v>
      </c>
      <c r="D151" s="87" t="s">
        <v>133</v>
      </c>
      <c r="E151" s="155">
        <v>2609269.81</v>
      </c>
      <c r="F151" s="163">
        <v>2604249.4300000002</v>
      </c>
      <c r="G151" s="163"/>
      <c r="H151" s="163">
        <v>0</v>
      </c>
      <c r="I151" s="163"/>
      <c r="J151" s="363">
        <f t="shared" si="8"/>
        <v>99.807594447275662</v>
      </c>
    </row>
    <row r="152" spans="1:10" s="57" customFormat="1" ht="12">
      <c r="A152" s="477"/>
      <c r="B152" s="132">
        <v>85202</v>
      </c>
      <c r="C152" s="132"/>
      <c r="D152" s="87" t="s">
        <v>87</v>
      </c>
      <c r="E152" s="155">
        <f>E153</f>
        <v>1709738</v>
      </c>
      <c r="F152" s="163">
        <f>F153</f>
        <v>1709738</v>
      </c>
      <c r="G152" s="163"/>
      <c r="H152" s="163">
        <v>0</v>
      </c>
      <c r="I152" s="163"/>
      <c r="J152" s="363">
        <f t="shared" si="8"/>
        <v>100</v>
      </c>
    </row>
    <row r="153" spans="1:10" s="57" customFormat="1" ht="12" customHeight="1">
      <c r="A153" s="477"/>
      <c r="B153" s="148"/>
      <c r="C153" s="132">
        <v>2130</v>
      </c>
      <c r="D153" s="87" t="s">
        <v>23</v>
      </c>
      <c r="E153" s="155">
        <v>1709738</v>
      </c>
      <c r="F153" s="163">
        <v>1709738</v>
      </c>
      <c r="G153" s="163"/>
      <c r="H153" s="163">
        <v>0</v>
      </c>
      <c r="I153" s="163"/>
      <c r="J153" s="363">
        <f t="shared" si="8"/>
        <v>100</v>
      </c>
    </row>
    <row r="154" spans="1:10" s="57" customFormat="1" ht="12">
      <c r="A154" s="477"/>
      <c r="B154" s="132">
        <v>85203</v>
      </c>
      <c r="C154" s="132"/>
      <c r="D154" s="87" t="s">
        <v>88</v>
      </c>
      <c r="E154" s="155">
        <f>SUM(E155:E160)</f>
        <v>466433.19</v>
      </c>
      <c r="F154" s="155">
        <f t="shared" ref="F154:H154" si="16">SUM(F155:F160)</f>
        <v>476825.37999999995</v>
      </c>
      <c r="G154" s="155"/>
      <c r="H154" s="155">
        <f t="shared" si="16"/>
        <v>0</v>
      </c>
      <c r="I154" s="155"/>
      <c r="J154" s="363">
        <f t="shared" si="8"/>
        <v>102.22801254773486</v>
      </c>
    </row>
    <row r="155" spans="1:10" s="57" customFormat="1" ht="23.25" customHeight="1">
      <c r="A155" s="477"/>
      <c r="B155" s="476"/>
      <c r="C155" s="112" t="s">
        <v>20</v>
      </c>
      <c r="D155" s="87" t="s">
        <v>162</v>
      </c>
      <c r="E155" s="155">
        <v>0</v>
      </c>
      <c r="F155" s="163">
        <v>8400</v>
      </c>
      <c r="G155" s="163"/>
      <c r="H155" s="163">
        <v>0</v>
      </c>
      <c r="I155" s="163"/>
      <c r="J155" s="363"/>
    </row>
    <row r="156" spans="1:10" s="57" customFormat="1" ht="12">
      <c r="A156" s="477"/>
      <c r="B156" s="477"/>
      <c r="C156" s="112" t="s">
        <v>53</v>
      </c>
      <c r="D156" s="87" t="s">
        <v>55</v>
      </c>
      <c r="E156" s="155">
        <v>203.39</v>
      </c>
      <c r="F156" s="163">
        <v>443.39</v>
      </c>
      <c r="G156" s="163"/>
      <c r="H156" s="163">
        <v>0</v>
      </c>
      <c r="I156" s="163"/>
      <c r="J156" s="363">
        <f t="shared" si="8"/>
        <v>217.9999016667486</v>
      </c>
    </row>
    <row r="157" spans="1:10" s="57" customFormat="1" ht="12">
      <c r="A157" s="477"/>
      <c r="B157" s="477"/>
      <c r="C157" s="112" t="s">
        <v>47</v>
      </c>
      <c r="D157" s="87" t="s">
        <v>57</v>
      </c>
      <c r="E157" s="155">
        <v>0</v>
      </c>
      <c r="F157" s="163">
        <v>444.01</v>
      </c>
      <c r="G157" s="163"/>
      <c r="H157" s="163">
        <v>0</v>
      </c>
      <c r="I157" s="163"/>
      <c r="J157" s="363"/>
    </row>
    <row r="158" spans="1:10" s="57" customFormat="1" ht="12">
      <c r="A158" s="477"/>
      <c r="B158" s="477"/>
      <c r="C158" s="112" t="s">
        <v>54</v>
      </c>
      <c r="D158" s="87" t="s">
        <v>56</v>
      </c>
      <c r="E158" s="155">
        <v>5429.8</v>
      </c>
      <c r="F158" s="163">
        <v>6488.47</v>
      </c>
      <c r="G158" s="163"/>
      <c r="H158" s="163">
        <v>0</v>
      </c>
      <c r="I158" s="163"/>
      <c r="J158" s="363">
        <f t="shared" si="8"/>
        <v>119.49740321927142</v>
      </c>
    </row>
    <row r="159" spans="1:10" s="57" customFormat="1" ht="22.5">
      <c r="A159" s="477"/>
      <c r="B159" s="477"/>
      <c r="C159" s="132">
        <v>2110</v>
      </c>
      <c r="D159" s="87" t="s">
        <v>63</v>
      </c>
      <c r="E159" s="155">
        <v>460800</v>
      </c>
      <c r="F159" s="163">
        <v>460791.6</v>
      </c>
      <c r="G159" s="163"/>
      <c r="H159" s="163">
        <v>0</v>
      </c>
      <c r="I159" s="163"/>
      <c r="J159" s="363">
        <f t="shared" si="8"/>
        <v>99.998177083333331</v>
      </c>
    </row>
    <row r="160" spans="1:10" s="57" customFormat="1" ht="22.5">
      <c r="A160" s="477"/>
      <c r="B160" s="478"/>
      <c r="C160" s="132">
        <v>2360</v>
      </c>
      <c r="D160" s="87" t="s">
        <v>129</v>
      </c>
      <c r="E160" s="155">
        <v>0</v>
      </c>
      <c r="F160" s="163">
        <v>257.91000000000003</v>
      </c>
      <c r="G160" s="163"/>
      <c r="H160" s="163">
        <v>0</v>
      </c>
      <c r="I160" s="163"/>
      <c r="J160" s="363"/>
    </row>
    <row r="161" spans="1:10" s="57" customFormat="1" ht="12">
      <c r="A161" s="477"/>
      <c r="B161" s="132">
        <v>85204</v>
      </c>
      <c r="C161" s="132"/>
      <c r="D161" s="87" t="s">
        <v>111</v>
      </c>
      <c r="E161" s="155">
        <f>SUM(E162:E164)</f>
        <v>132577.13999999998</v>
      </c>
      <c r="F161" s="163">
        <f>SUM(F162:F164)</f>
        <v>129816.62000000001</v>
      </c>
      <c r="G161" s="163"/>
      <c r="H161" s="163">
        <v>0</v>
      </c>
      <c r="I161" s="163"/>
      <c r="J161" s="363">
        <f t="shared" si="8"/>
        <v>97.917800911982283</v>
      </c>
    </row>
    <row r="162" spans="1:10" s="57" customFormat="1" ht="12">
      <c r="A162" s="477"/>
      <c r="B162" s="477"/>
      <c r="C162" s="112" t="s">
        <v>54</v>
      </c>
      <c r="D162" s="87" t="s">
        <v>56</v>
      </c>
      <c r="E162" s="155">
        <v>0</v>
      </c>
      <c r="F162" s="163">
        <v>1993.3</v>
      </c>
      <c r="G162" s="163"/>
      <c r="H162" s="163">
        <v>0</v>
      </c>
      <c r="I162" s="163"/>
      <c r="J162" s="363"/>
    </row>
    <row r="163" spans="1:10" s="57" customFormat="1" ht="22.5">
      <c r="A163" s="477"/>
      <c r="B163" s="477"/>
      <c r="C163" s="112">
        <v>2320</v>
      </c>
      <c r="D163" s="87" t="s">
        <v>133</v>
      </c>
      <c r="E163" s="155">
        <v>132300.87</v>
      </c>
      <c r="F163" s="163">
        <v>127547.05</v>
      </c>
      <c r="G163" s="163"/>
      <c r="H163" s="163">
        <v>0</v>
      </c>
      <c r="I163" s="163"/>
      <c r="J163" s="363">
        <f t="shared" ref="J163:J216" si="17">(F163+H163)/E163*100</f>
        <v>96.406811232609442</v>
      </c>
    </row>
    <row r="164" spans="1:10" s="57" customFormat="1" ht="33.75">
      <c r="A164" s="477"/>
      <c r="B164" s="478"/>
      <c r="C164" s="112">
        <v>2910</v>
      </c>
      <c r="D164" s="87" t="s">
        <v>206</v>
      </c>
      <c r="E164" s="155">
        <v>276.27</v>
      </c>
      <c r="F164" s="163">
        <v>276.27</v>
      </c>
      <c r="G164" s="163"/>
      <c r="H164" s="163">
        <v>0</v>
      </c>
      <c r="I164" s="163"/>
      <c r="J164" s="363">
        <f t="shared" si="17"/>
        <v>100</v>
      </c>
    </row>
    <row r="165" spans="1:10" s="57" customFormat="1" ht="12">
      <c r="A165" s="477"/>
      <c r="B165" s="145">
        <v>85205</v>
      </c>
      <c r="C165" s="112"/>
      <c r="D165" s="87" t="s">
        <v>209</v>
      </c>
      <c r="E165" s="155">
        <f>E166+E167</f>
        <v>373931</v>
      </c>
      <c r="F165" s="155">
        <f t="shared" ref="F165:H165" si="18">F166+F167</f>
        <v>373919.24</v>
      </c>
      <c r="G165" s="155"/>
      <c r="H165" s="155">
        <f t="shared" si="18"/>
        <v>0</v>
      </c>
      <c r="I165" s="155"/>
      <c r="J165" s="363">
        <f t="shared" si="17"/>
        <v>99.9968550347524</v>
      </c>
    </row>
    <row r="166" spans="1:10" s="57" customFormat="1" ht="22.5">
      <c r="A166" s="477"/>
      <c r="B166" s="476"/>
      <c r="C166" s="112">
        <v>2110</v>
      </c>
      <c r="D166" s="87" t="s">
        <v>63</v>
      </c>
      <c r="E166" s="155">
        <v>319500</v>
      </c>
      <c r="F166" s="163">
        <v>319488.24</v>
      </c>
      <c r="G166" s="163"/>
      <c r="H166" s="163">
        <v>0</v>
      </c>
      <c r="I166" s="163"/>
      <c r="J166" s="363">
        <f t="shared" si="17"/>
        <v>99.996319248826296</v>
      </c>
    </row>
    <row r="167" spans="1:10" s="57" customFormat="1" ht="22.5">
      <c r="A167" s="477"/>
      <c r="B167" s="478"/>
      <c r="C167" s="112">
        <v>2120</v>
      </c>
      <c r="D167" s="87" t="s">
        <v>360</v>
      </c>
      <c r="E167" s="155">
        <v>54431</v>
      </c>
      <c r="F167" s="163">
        <v>54431</v>
      </c>
      <c r="G167" s="163"/>
      <c r="H167" s="163">
        <v>0</v>
      </c>
      <c r="I167" s="163"/>
      <c r="J167" s="363">
        <f t="shared" si="17"/>
        <v>100</v>
      </c>
    </row>
    <row r="168" spans="1:10" s="57" customFormat="1" ht="12">
      <c r="A168" s="477"/>
      <c r="B168" s="132">
        <v>85218</v>
      </c>
      <c r="C168" s="132"/>
      <c r="D168" s="87" t="s">
        <v>90</v>
      </c>
      <c r="E168" s="155">
        <f>SUM(E169:E173)</f>
        <v>47986</v>
      </c>
      <c r="F168" s="163">
        <f>SUM(F169:F173)</f>
        <v>63347.47</v>
      </c>
      <c r="G168" s="163"/>
      <c r="H168" s="163">
        <v>0</v>
      </c>
      <c r="I168" s="163"/>
      <c r="J168" s="363">
        <f t="shared" si="17"/>
        <v>132.01239944983953</v>
      </c>
    </row>
    <row r="169" spans="1:10" s="57" customFormat="1" ht="21" customHeight="1">
      <c r="A169" s="477"/>
      <c r="B169" s="476"/>
      <c r="C169" s="112" t="s">
        <v>20</v>
      </c>
      <c r="D169" s="87" t="s">
        <v>130</v>
      </c>
      <c r="E169" s="155">
        <v>27690</v>
      </c>
      <c r="F169" s="163">
        <v>35727.800000000003</v>
      </c>
      <c r="G169" s="163"/>
      <c r="H169" s="163">
        <v>0</v>
      </c>
      <c r="I169" s="163"/>
      <c r="J169" s="363">
        <f t="shared" si="17"/>
        <v>129.0278078728783</v>
      </c>
    </row>
    <row r="170" spans="1:10" s="57" customFormat="1" ht="12">
      <c r="A170" s="477"/>
      <c r="B170" s="477"/>
      <c r="C170" s="112" t="s">
        <v>53</v>
      </c>
      <c r="D170" s="87" t="s">
        <v>55</v>
      </c>
      <c r="E170" s="155">
        <v>8000</v>
      </c>
      <c r="F170" s="163">
        <v>12441.55</v>
      </c>
      <c r="G170" s="163"/>
      <c r="H170" s="163">
        <v>0</v>
      </c>
      <c r="I170" s="163"/>
      <c r="J170" s="363">
        <f t="shared" si="17"/>
        <v>155.519375</v>
      </c>
    </row>
    <row r="171" spans="1:10" s="57" customFormat="1" ht="12">
      <c r="A171" s="477"/>
      <c r="B171" s="477"/>
      <c r="C171" s="112" t="s">
        <v>47</v>
      </c>
      <c r="D171" s="87" t="s">
        <v>57</v>
      </c>
      <c r="E171" s="155">
        <v>1000</v>
      </c>
      <c r="F171" s="163">
        <v>2826.42</v>
      </c>
      <c r="G171" s="163"/>
      <c r="H171" s="163">
        <v>0</v>
      </c>
      <c r="I171" s="163"/>
      <c r="J171" s="363">
        <f t="shared" si="17"/>
        <v>282.642</v>
      </c>
    </row>
    <row r="172" spans="1:10" s="57" customFormat="1" ht="12">
      <c r="A172" s="477"/>
      <c r="B172" s="477"/>
      <c r="C172" s="112" t="s">
        <v>54</v>
      </c>
      <c r="D172" s="87" t="s">
        <v>56</v>
      </c>
      <c r="E172" s="155">
        <v>5000</v>
      </c>
      <c r="F172" s="163">
        <v>6435.03</v>
      </c>
      <c r="G172" s="163"/>
      <c r="H172" s="163">
        <v>0</v>
      </c>
      <c r="I172" s="163"/>
      <c r="J172" s="363">
        <f t="shared" si="17"/>
        <v>128.70059999999998</v>
      </c>
    </row>
    <row r="173" spans="1:10" s="57" customFormat="1" ht="12" customHeight="1">
      <c r="A173" s="477"/>
      <c r="B173" s="478"/>
      <c r="C173" s="132">
        <v>2130</v>
      </c>
      <c r="D173" s="87" t="s">
        <v>23</v>
      </c>
      <c r="E173" s="155">
        <v>6296</v>
      </c>
      <c r="F173" s="163">
        <v>5916.67</v>
      </c>
      <c r="G173" s="163"/>
      <c r="H173" s="163">
        <v>0</v>
      </c>
      <c r="I173" s="163"/>
      <c r="J173" s="363">
        <f t="shared" si="17"/>
        <v>93.975063532401521</v>
      </c>
    </row>
    <row r="174" spans="1:10" s="57" customFormat="1" ht="12">
      <c r="A174" s="477"/>
      <c r="B174" s="131">
        <v>85226</v>
      </c>
      <c r="C174" s="132"/>
      <c r="D174" s="87" t="s">
        <v>193</v>
      </c>
      <c r="E174" s="155">
        <f>E175</f>
        <v>6390.04</v>
      </c>
      <c r="F174" s="163">
        <f>F175</f>
        <v>6562.22</v>
      </c>
      <c r="G174" s="163"/>
      <c r="H174" s="163">
        <v>0</v>
      </c>
      <c r="I174" s="163"/>
      <c r="J174" s="363">
        <f t="shared" si="17"/>
        <v>102.69450582468968</v>
      </c>
    </row>
    <row r="175" spans="1:10" s="57" customFormat="1" ht="22.5">
      <c r="A175" s="477"/>
      <c r="B175" s="348"/>
      <c r="C175" s="112">
        <v>2320</v>
      </c>
      <c r="D175" s="87" t="s">
        <v>133</v>
      </c>
      <c r="E175" s="155">
        <v>6390.04</v>
      </c>
      <c r="F175" s="163">
        <v>6562.22</v>
      </c>
      <c r="G175" s="163"/>
      <c r="H175" s="163">
        <v>0</v>
      </c>
      <c r="I175" s="163"/>
      <c r="J175" s="363">
        <f t="shared" si="17"/>
        <v>102.69450582468968</v>
      </c>
    </row>
    <row r="176" spans="1:10" s="57" customFormat="1" ht="12">
      <c r="A176" s="477"/>
      <c r="B176" s="348">
        <v>85295</v>
      </c>
      <c r="C176" s="112"/>
      <c r="D176" s="87" t="s">
        <v>72</v>
      </c>
      <c r="E176" s="155">
        <f>E177</f>
        <v>30000</v>
      </c>
      <c r="F176" s="163">
        <f>F177</f>
        <v>30000</v>
      </c>
      <c r="G176" s="163"/>
      <c r="H176" s="163">
        <f>H177</f>
        <v>0</v>
      </c>
      <c r="I176" s="163"/>
      <c r="J176" s="363">
        <f t="shared" si="17"/>
        <v>100</v>
      </c>
    </row>
    <row r="177" spans="1:10" s="57" customFormat="1" ht="22.5">
      <c r="A177" s="478"/>
      <c r="B177" s="348"/>
      <c r="C177" s="112">
        <v>2120</v>
      </c>
      <c r="D177" s="87" t="s">
        <v>360</v>
      </c>
      <c r="E177" s="155">
        <v>30000</v>
      </c>
      <c r="F177" s="163">
        <v>30000</v>
      </c>
      <c r="G177" s="163"/>
      <c r="H177" s="163">
        <v>0</v>
      </c>
      <c r="I177" s="163"/>
      <c r="J177" s="363">
        <f t="shared" si="17"/>
        <v>100</v>
      </c>
    </row>
    <row r="178" spans="1:10" s="57" customFormat="1" ht="12">
      <c r="A178" s="115">
        <v>853</v>
      </c>
      <c r="B178" s="115"/>
      <c r="C178" s="113"/>
      <c r="D178" s="116" t="s">
        <v>34</v>
      </c>
      <c r="E178" s="154">
        <f>E179+E181+E187</f>
        <v>2649353.5</v>
      </c>
      <c r="F178" s="154">
        <f t="shared" ref="F178:H178" si="19">F179+F181+F187</f>
        <v>2642975.86</v>
      </c>
      <c r="G178" s="154">
        <f t="shared" si="19"/>
        <v>1335204.47</v>
      </c>
      <c r="H178" s="154">
        <f t="shared" si="19"/>
        <v>175</v>
      </c>
      <c r="I178" s="154"/>
      <c r="J178" s="364">
        <f t="shared" si="17"/>
        <v>99.765880997005496</v>
      </c>
    </row>
    <row r="179" spans="1:10" s="57" customFormat="1" ht="12">
      <c r="A179" s="476"/>
      <c r="B179" s="132">
        <v>85321</v>
      </c>
      <c r="C179" s="132"/>
      <c r="D179" s="87" t="s">
        <v>91</v>
      </c>
      <c r="E179" s="155">
        <f>E180</f>
        <v>125760</v>
      </c>
      <c r="F179" s="163">
        <f>F180</f>
        <v>125758.74</v>
      </c>
      <c r="G179" s="163"/>
      <c r="H179" s="163">
        <v>0</v>
      </c>
      <c r="I179" s="163"/>
      <c r="J179" s="363">
        <f t="shared" si="17"/>
        <v>99.998998091603056</v>
      </c>
    </row>
    <row r="180" spans="1:10" s="57" customFormat="1" ht="22.5">
      <c r="A180" s="477"/>
      <c r="B180" s="132"/>
      <c r="C180" s="132">
        <v>2110</v>
      </c>
      <c r="D180" s="87" t="s">
        <v>63</v>
      </c>
      <c r="E180" s="155">
        <v>125760</v>
      </c>
      <c r="F180" s="163">
        <v>125758.74</v>
      </c>
      <c r="G180" s="163"/>
      <c r="H180" s="163">
        <v>0</v>
      </c>
      <c r="I180" s="163"/>
      <c r="J180" s="363">
        <f t="shared" si="17"/>
        <v>99.998998091603056</v>
      </c>
    </row>
    <row r="181" spans="1:10" s="57" customFormat="1" ht="12">
      <c r="A181" s="477"/>
      <c r="B181" s="132">
        <v>85333</v>
      </c>
      <c r="C181" s="132"/>
      <c r="D181" s="87" t="s">
        <v>92</v>
      </c>
      <c r="E181" s="155">
        <f>SUM(E182:E186)</f>
        <v>1179400</v>
      </c>
      <c r="F181" s="163">
        <f>SUM(F182:F186)</f>
        <v>1179568.23</v>
      </c>
      <c r="G181" s="163"/>
      <c r="H181" s="163">
        <f>SUM(H182:H186)</f>
        <v>175</v>
      </c>
      <c r="I181" s="163"/>
      <c r="J181" s="363">
        <f t="shared" si="17"/>
        <v>100.02910208580633</v>
      </c>
    </row>
    <row r="182" spans="1:10" s="57" customFormat="1" ht="22.5" customHeight="1">
      <c r="A182" s="477"/>
      <c r="B182" s="476"/>
      <c r="C182" s="112" t="s">
        <v>20</v>
      </c>
      <c r="D182" s="87" t="s">
        <v>162</v>
      </c>
      <c r="E182" s="163">
        <v>5000</v>
      </c>
      <c r="F182" s="163">
        <v>800</v>
      </c>
      <c r="G182" s="163"/>
      <c r="H182" s="163">
        <v>0</v>
      </c>
      <c r="I182" s="163"/>
      <c r="J182" s="363">
        <f t="shared" si="17"/>
        <v>16</v>
      </c>
    </row>
    <row r="183" spans="1:10" s="57" customFormat="1" ht="12">
      <c r="A183" s="477"/>
      <c r="B183" s="477"/>
      <c r="C183" s="112" t="s">
        <v>185</v>
      </c>
      <c r="D183" s="87" t="s">
        <v>188</v>
      </c>
      <c r="E183" s="155">
        <v>0</v>
      </c>
      <c r="F183" s="163">
        <v>0</v>
      </c>
      <c r="G183" s="163"/>
      <c r="H183" s="163">
        <v>175</v>
      </c>
      <c r="I183" s="163"/>
      <c r="J183" s="363"/>
    </row>
    <row r="184" spans="1:10" s="57" customFormat="1" ht="12">
      <c r="A184" s="477"/>
      <c r="B184" s="477"/>
      <c r="C184" s="112" t="s">
        <v>47</v>
      </c>
      <c r="D184" s="87" t="s">
        <v>57</v>
      </c>
      <c r="E184" s="155">
        <v>1500</v>
      </c>
      <c r="F184" s="163">
        <v>1254.23</v>
      </c>
      <c r="G184" s="163"/>
      <c r="H184" s="163">
        <v>0</v>
      </c>
      <c r="I184" s="163"/>
      <c r="J184" s="363">
        <f t="shared" si="17"/>
        <v>83.615333333333325</v>
      </c>
    </row>
    <row r="185" spans="1:10" s="57" customFormat="1" ht="12">
      <c r="A185" s="477"/>
      <c r="B185" s="477"/>
      <c r="C185" s="112" t="s">
        <v>54</v>
      </c>
      <c r="D185" s="87" t="s">
        <v>56</v>
      </c>
      <c r="E185" s="155">
        <v>100</v>
      </c>
      <c r="F185" s="163">
        <v>4714</v>
      </c>
      <c r="G185" s="163"/>
      <c r="H185" s="163">
        <v>0</v>
      </c>
      <c r="I185" s="163"/>
      <c r="J185" s="363">
        <f t="shared" si="17"/>
        <v>4714</v>
      </c>
    </row>
    <row r="186" spans="1:10" s="57" customFormat="1" ht="21" customHeight="1">
      <c r="A186" s="477"/>
      <c r="B186" s="478"/>
      <c r="C186" s="132">
        <v>2690</v>
      </c>
      <c r="D186" s="117" t="s">
        <v>361</v>
      </c>
      <c r="E186" s="155">
        <v>1172800</v>
      </c>
      <c r="F186" s="163">
        <v>1172800</v>
      </c>
      <c r="G186" s="163"/>
      <c r="H186" s="163">
        <v>0</v>
      </c>
      <c r="I186" s="163"/>
      <c r="J186" s="363">
        <f t="shared" si="17"/>
        <v>100</v>
      </c>
    </row>
    <row r="187" spans="1:10" s="57" customFormat="1" ht="12">
      <c r="A187" s="477"/>
      <c r="B187" s="132">
        <v>85395</v>
      </c>
      <c r="C187" s="132"/>
      <c r="D187" s="87" t="s">
        <v>72</v>
      </c>
      <c r="E187" s="155">
        <f>SUM(E188:E190)</f>
        <v>1344193.5</v>
      </c>
      <c r="F187" s="163">
        <f>SUM(F188:F190)</f>
        <v>1337648.8899999999</v>
      </c>
      <c r="G187" s="163">
        <f>G189+G190</f>
        <v>1335204.47</v>
      </c>
      <c r="H187" s="163">
        <v>0</v>
      </c>
      <c r="I187" s="163"/>
      <c r="J187" s="363">
        <f t="shared" si="17"/>
        <v>99.513119948876408</v>
      </c>
    </row>
    <row r="188" spans="1:10" s="57" customFormat="1" ht="12">
      <c r="A188" s="477"/>
      <c r="B188" s="476"/>
      <c r="C188" s="112" t="s">
        <v>47</v>
      </c>
      <c r="D188" s="87" t="s">
        <v>57</v>
      </c>
      <c r="E188" s="155">
        <v>0</v>
      </c>
      <c r="F188" s="163">
        <v>2444.42</v>
      </c>
      <c r="G188" s="163"/>
      <c r="H188" s="163">
        <v>0</v>
      </c>
      <c r="I188" s="163"/>
      <c r="J188" s="363"/>
    </row>
    <row r="189" spans="1:10" s="57" customFormat="1" ht="16.5" customHeight="1">
      <c r="A189" s="477"/>
      <c r="B189" s="477"/>
      <c r="C189" s="112">
        <v>2007</v>
      </c>
      <c r="D189" s="493" t="s">
        <v>205</v>
      </c>
      <c r="E189" s="155">
        <v>1274373.75</v>
      </c>
      <c r="F189" s="163">
        <v>1265828.6599999999</v>
      </c>
      <c r="G189" s="163">
        <f>F189</f>
        <v>1265828.6599999999</v>
      </c>
      <c r="H189" s="163">
        <v>0</v>
      </c>
      <c r="I189" s="163"/>
      <c r="J189" s="363">
        <f t="shared" si="17"/>
        <v>99.329467512964698</v>
      </c>
    </row>
    <row r="190" spans="1:10" s="57" customFormat="1" ht="20.25" customHeight="1">
      <c r="A190" s="477"/>
      <c r="B190" s="477"/>
      <c r="C190" s="112">
        <v>2009</v>
      </c>
      <c r="D190" s="494"/>
      <c r="E190" s="155">
        <v>69819.75</v>
      </c>
      <c r="F190" s="163">
        <v>69375.81</v>
      </c>
      <c r="G190" s="163">
        <f>F190</f>
        <v>69375.81</v>
      </c>
      <c r="H190" s="163">
        <v>0</v>
      </c>
      <c r="I190" s="163"/>
      <c r="J190" s="363">
        <f t="shared" si="17"/>
        <v>99.364162719001428</v>
      </c>
    </row>
    <row r="191" spans="1:10" s="57" customFormat="1" ht="12">
      <c r="A191" s="115">
        <v>854</v>
      </c>
      <c r="B191" s="115"/>
      <c r="C191" s="115"/>
      <c r="D191" s="116" t="s">
        <v>93</v>
      </c>
      <c r="E191" s="154">
        <f>E192+E196+E201+E204</f>
        <v>151979</v>
      </c>
      <c r="F191" s="162">
        <f>F192+F196+F201+F204</f>
        <v>181352.46000000002</v>
      </c>
      <c r="G191" s="162"/>
      <c r="H191" s="162">
        <v>0</v>
      </c>
      <c r="I191" s="162"/>
      <c r="J191" s="364">
        <f t="shared" si="17"/>
        <v>119.32731495798762</v>
      </c>
    </row>
    <row r="192" spans="1:10" s="57" customFormat="1" ht="12">
      <c r="A192" s="476"/>
      <c r="B192" s="132">
        <v>85406</v>
      </c>
      <c r="C192" s="132"/>
      <c r="D192" s="87" t="s">
        <v>94</v>
      </c>
      <c r="E192" s="155">
        <f>SUM(E193:E195)</f>
        <v>20000</v>
      </c>
      <c r="F192" s="155">
        <f>SUM(F193:F195)</f>
        <v>30593.97</v>
      </c>
      <c r="G192" s="155"/>
      <c r="H192" s="129">
        <f>SUM(H193:H195)</f>
        <v>0</v>
      </c>
      <c r="I192" s="129"/>
      <c r="J192" s="363">
        <f t="shared" si="17"/>
        <v>152.96985000000001</v>
      </c>
    </row>
    <row r="193" spans="1:10" s="57" customFormat="1" ht="21.75" customHeight="1">
      <c r="A193" s="477"/>
      <c r="B193" s="477"/>
      <c r="C193" s="112" t="s">
        <v>20</v>
      </c>
      <c r="D193" s="87" t="s">
        <v>162</v>
      </c>
      <c r="E193" s="155">
        <v>19600</v>
      </c>
      <c r="F193" s="163">
        <v>20464.759999999998</v>
      </c>
      <c r="G193" s="163"/>
      <c r="H193" s="163">
        <v>0</v>
      </c>
      <c r="I193" s="163"/>
      <c r="J193" s="363">
        <f t="shared" si="17"/>
        <v>104.41204081632651</v>
      </c>
    </row>
    <row r="194" spans="1:10" s="57" customFormat="1" ht="12">
      <c r="A194" s="477"/>
      <c r="B194" s="477"/>
      <c r="C194" s="112" t="s">
        <v>47</v>
      </c>
      <c r="D194" s="87" t="s">
        <v>57</v>
      </c>
      <c r="E194" s="155">
        <v>280</v>
      </c>
      <c r="F194" s="163">
        <v>979.52</v>
      </c>
      <c r="G194" s="163"/>
      <c r="H194" s="163">
        <v>0</v>
      </c>
      <c r="I194" s="163"/>
      <c r="J194" s="363">
        <f t="shared" si="17"/>
        <v>349.82857142857142</v>
      </c>
    </row>
    <row r="195" spans="1:10" s="57" customFormat="1" ht="12">
      <c r="A195" s="477"/>
      <c r="B195" s="478"/>
      <c r="C195" s="112" t="s">
        <v>54</v>
      </c>
      <c r="D195" s="87" t="s">
        <v>56</v>
      </c>
      <c r="E195" s="155">
        <v>120</v>
      </c>
      <c r="F195" s="163">
        <v>9149.69</v>
      </c>
      <c r="G195" s="163"/>
      <c r="H195" s="163">
        <v>0</v>
      </c>
      <c r="I195" s="163"/>
      <c r="J195" s="363">
        <f t="shared" si="17"/>
        <v>7624.7416666666668</v>
      </c>
    </row>
    <row r="196" spans="1:10" s="57" customFormat="1" ht="12">
      <c r="A196" s="477"/>
      <c r="B196" s="132">
        <v>85407</v>
      </c>
      <c r="C196" s="132"/>
      <c r="D196" s="87" t="s">
        <v>43</v>
      </c>
      <c r="E196" s="155">
        <f>SUM(E197:E200)</f>
        <v>13750</v>
      </c>
      <c r="F196" s="163">
        <f>SUM(F197:F200)</f>
        <v>17922.86</v>
      </c>
      <c r="G196" s="163"/>
      <c r="H196" s="163">
        <v>0</v>
      </c>
      <c r="I196" s="163"/>
      <c r="J196" s="363">
        <f t="shared" si="17"/>
        <v>130.34807272727272</v>
      </c>
    </row>
    <row r="197" spans="1:10" s="57" customFormat="1" ht="22.5" customHeight="1">
      <c r="A197" s="477"/>
      <c r="B197" s="484"/>
      <c r="C197" s="112" t="s">
        <v>20</v>
      </c>
      <c r="D197" s="87" t="s">
        <v>162</v>
      </c>
      <c r="E197" s="155">
        <v>10690</v>
      </c>
      <c r="F197" s="163">
        <v>11810</v>
      </c>
      <c r="G197" s="163"/>
      <c r="H197" s="163">
        <v>0</v>
      </c>
      <c r="I197" s="163"/>
      <c r="J197" s="363">
        <f t="shared" si="17"/>
        <v>110.47708138447148</v>
      </c>
    </row>
    <row r="198" spans="1:10" s="57" customFormat="1" ht="12">
      <c r="A198" s="477"/>
      <c r="B198" s="484"/>
      <c r="C198" s="112" t="s">
        <v>53</v>
      </c>
      <c r="D198" s="87" t="s">
        <v>55</v>
      </c>
      <c r="E198" s="155">
        <v>2800</v>
      </c>
      <c r="F198" s="163">
        <v>5702</v>
      </c>
      <c r="G198" s="163"/>
      <c r="H198" s="163">
        <v>0</v>
      </c>
      <c r="I198" s="163"/>
      <c r="J198" s="363">
        <f t="shared" si="17"/>
        <v>203.64285714285714</v>
      </c>
    </row>
    <row r="199" spans="1:10" s="57" customFormat="1" ht="12">
      <c r="A199" s="477"/>
      <c r="B199" s="484"/>
      <c r="C199" s="112" t="s">
        <v>47</v>
      </c>
      <c r="D199" s="87" t="s">
        <v>57</v>
      </c>
      <c r="E199" s="155">
        <v>200</v>
      </c>
      <c r="F199" s="163">
        <v>312.86</v>
      </c>
      <c r="G199" s="163"/>
      <c r="H199" s="163">
        <v>0</v>
      </c>
      <c r="I199" s="163"/>
      <c r="J199" s="363">
        <f t="shared" si="17"/>
        <v>156.43</v>
      </c>
    </row>
    <row r="200" spans="1:10" s="57" customFormat="1" ht="12">
      <c r="A200" s="477"/>
      <c r="B200" s="484"/>
      <c r="C200" s="112" t="s">
        <v>54</v>
      </c>
      <c r="D200" s="87" t="s">
        <v>56</v>
      </c>
      <c r="E200" s="155">
        <v>60</v>
      </c>
      <c r="F200" s="163">
        <v>98</v>
      </c>
      <c r="G200" s="163"/>
      <c r="H200" s="163">
        <v>0</v>
      </c>
      <c r="I200" s="163"/>
      <c r="J200" s="363">
        <f t="shared" si="17"/>
        <v>163.33333333333334</v>
      </c>
    </row>
    <row r="201" spans="1:10" s="57" customFormat="1" ht="12">
      <c r="A201" s="477"/>
      <c r="B201" s="132">
        <v>85410</v>
      </c>
      <c r="C201" s="132"/>
      <c r="D201" s="87" t="s">
        <v>44</v>
      </c>
      <c r="E201" s="155">
        <f>E202+E203</f>
        <v>93729</v>
      </c>
      <c r="F201" s="155">
        <f t="shared" ref="F201:H201" si="20">F202+F203</f>
        <v>93790.62</v>
      </c>
      <c r="G201" s="155"/>
      <c r="H201" s="155">
        <f t="shared" si="20"/>
        <v>0</v>
      </c>
      <c r="I201" s="155"/>
      <c r="J201" s="363">
        <f t="shared" si="17"/>
        <v>100.0657427263707</v>
      </c>
    </row>
    <row r="202" spans="1:10" s="57" customFormat="1" ht="21.75" customHeight="1">
      <c r="A202" s="477"/>
      <c r="B202" s="476"/>
      <c r="C202" s="112" t="s">
        <v>20</v>
      </c>
      <c r="D202" s="87" t="s">
        <v>162</v>
      </c>
      <c r="E202" s="155">
        <v>58621</v>
      </c>
      <c r="F202" s="163">
        <v>58683.12</v>
      </c>
      <c r="G202" s="163"/>
      <c r="H202" s="163">
        <v>0</v>
      </c>
      <c r="I202" s="163"/>
      <c r="J202" s="363">
        <f t="shared" si="17"/>
        <v>100.10596885075316</v>
      </c>
    </row>
    <row r="203" spans="1:10" s="57" customFormat="1" ht="12">
      <c r="A203" s="477"/>
      <c r="B203" s="477"/>
      <c r="C203" s="112" t="s">
        <v>53</v>
      </c>
      <c r="D203" s="87" t="s">
        <v>55</v>
      </c>
      <c r="E203" s="155">
        <v>35108</v>
      </c>
      <c r="F203" s="163">
        <v>35107.5</v>
      </c>
      <c r="G203" s="163"/>
      <c r="H203" s="163">
        <v>0</v>
      </c>
      <c r="I203" s="163"/>
      <c r="J203" s="363">
        <f t="shared" si="17"/>
        <v>99.998575823174207</v>
      </c>
    </row>
    <row r="204" spans="1:10" s="57" customFormat="1" ht="12">
      <c r="A204" s="477"/>
      <c r="B204" s="132">
        <v>85420</v>
      </c>
      <c r="C204" s="112"/>
      <c r="D204" s="87" t="s">
        <v>128</v>
      </c>
      <c r="E204" s="155">
        <f>E205+E206+E207</f>
        <v>24500</v>
      </c>
      <c r="F204" s="163">
        <f>F205+F206+F207</f>
        <v>39045.01</v>
      </c>
      <c r="G204" s="163"/>
      <c r="H204" s="163">
        <v>0</v>
      </c>
      <c r="I204" s="163"/>
      <c r="J204" s="363">
        <f t="shared" si="17"/>
        <v>159.36738775510204</v>
      </c>
    </row>
    <row r="205" spans="1:10" s="57" customFormat="1" ht="12">
      <c r="A205" s="477"/>
      <c r="B205" s="476"/>
      <c r="C205" s="112" t="s">
        <v>53</v>
      </c>
      <c r="D205" s="87" t="s">
        <v>55</v>
      </c>
      <c r="E205" s="155">
        <v>24000</v>
      </c>
      <c r="F205" s="163">
        <v>23320.32</v>
      </c>
      <c r="G205" s="163"/>
      <c r="H205" s="163">
        <v>0</v>
      </c>
      <c r="I205" s="163"/>
      <c r="J205" s="363">
        <f t="shared" si="17"/>
        <v>97.167999999999992</v>
      </c>
    </row>
    <row r="206" spans="1:10" s="57" customFormat="1" ht="12">
      <c r="A206" s="477"/>
      <c r="B206" s="477"/>
      <c r="C206" s="112" t="s">
        <v>47</v>
      </c>
      <c r="D206" s="87" t="s">
        <v>57</v>
      </c>
      <c r="E206" s="155">
        <v>500</v>
      </c>
      <c r="F206" s="163">
        <v>703.24</v>
      </c>
      <c r="G206" s="163"/>
      <c r="H206" s="163">
        <v>0</v>
      </c>
      <c r="I206" s="163"/>
      <c r="J206" s="363">
        <f t="shared" si="17"/>
        <v>140.648</v>
      </c>
    </row>
    <row r="207" spans="1:10" s="57" customFormat="1" ht="12">
      <c r="A207" s="478"/>
      <c r="B207" s="478"/>
      <c r="C207" s="112" t="s">
        <v>54</v>
      </c>
      <c r="D207" s="87" t="s">
        <v>56</v>
      </c>
      <c r="E207" s="155">
        <v>0</v>
      </c>
      <c r="F207" s="163">
        <v>15021.45</v>
      </c>
      <c r="G207" s="163"/>
      <c r="H207" s="163">
        <v>0</v>
      </c>
      <c r="I207" s="163"/>
      <c r="J207" s="363"/>
    </row>
    <row r="208" spans="1:10" s="57" customFormat="1" ht="12">
      <c r="A208" s="257">
        <v>900</v>
      </c>
      <c r="B208" s="257"/>
      <c r="C208" s="260"/>
      <c r="D208" s="261" t="s">
        <v>136</v>
      </c>
      <c r="E208" s="258">
        <f>E209</f>
        <v>71200</v>
      </c>
      <c r="F208" s="259">
        <f>F209+F211</f>
        <v>70996.679999999993</v>
      </c>
      <c r="G208" s="259"/>
      <c r="H208" s="259">
        <v>0</v>
      </c>
      <c r="I208" s="259"/>
      <c r="J208" s="366">
        <f t="shared" si="17"/>
        <v>99.71443820224718</v>
      </c>
    </row>
    <row r="209" spans="1:10" s="57" customFormat="1" ht="13.5" customHeight="1">
      <c r="A209" s="476"/>
      <c r="B209" s="144">
        <v>90019</v>
      </c>
      <c r="C209" s="112"/>
      <c r="D209" s="87" t="s">
        <v>208</v>
      </c>
      <c r="E209" s="155">
        <f>E210</f>
        <v>71200</v>
      </c>
      <c r="F209" s="163">
        <f>F210</f>
        <v>70888.179999999993</v>
      </c>
      <c r="G209" s="163"/>
      <c r="H209" s="163">
        <v>0</v>
      </c>
      <c r="I209" s="163"/>
      <c r="J209" s="363">
        <f t="shared" si="17"/>
        <v>99.562050561797747</v>
      </c>
    </row>
    <row r="210" spans="1:10" s="57" customFormat="1" ht="12">
      <c r="A210" s="477"/>
      <c r="B210" s="347"/>
      <c r="C210" s="112" t="s">
        <v>35</v>
      </c>
      <c r="D210" s="90" t="s">
        <v>36</v>
      </c>
      <c r="E210" s="155">
        <v>71200</v>
      </c>
      <c r="F210" s="163">
        <v>70888.179999999993</v>
      </c>
      <c r="G210" s="163"/>
      <c r="H210" s="163">
        <v>0</v>
      </c>
      <c r="I210" s="163"/>
      <c r="J210" s="363">
        <f t="shared" si="17"/>
        <v>99.562050561797747</v>
      </c>
    </row>
    <row r="211" spans="1:10" s="57" customFormat="1" ht="12">
      <c r="A211" s="477"/>
      <c r="B211" s="347">
        <v>90095</v>
      </c>
      <c r="C211" s="112"/>
      <c r="D211" s="90" t="s">
        <v>362</v>
      </c>
      <c r="E211" s="155">
        <f>E212</f>
        <v>0</v>
      </c>
      <c r="F211" s="163">
        <f>F212</f>
        <v>108.5</v>
      </c>
      <c r="G211" s="163"/>
      <c r="H211" s="163">
        <f>H212</f>
        <v>0</v>
      </c>
      <c r="I211" s="163"/>
      <c r="J211" s="363"/>
    </row>
    <row r="212" spans="1:10" s="57" customFormat="1" ht="22.5">
      <c r="A212" s="478"/>
      <c r="B212" s="347"/>
      <c r="C212" s="112">
        <v>2360</v>
      </c>
      <c r="D212" s="87" t="s">
        <v>129</v>
      </c>
      <c r="E212" s="155">
        <v>0</v>
      </c>
      <c r="F212" s="163">
        <v>108.5</v>
      </c>
      <c r="G212" s="163"/>
      <c r="H212" s="163">
        <v>0</v>
      </c>
      <c r="I212" s="163"/>
      <c r="J212" s="363"/>
    </row>
    <row r="213" spans="1:10" s="57" customFormat="1" ht="13.5" customHeight="1">
      <c r="A213" s="257">
        <v>921</v>
      </c>
      <c r="B213" s="257"/>
      <c r="C213" s="260"/>
      <c r="D213" s="261" t="s">
        <v>364</v>
      </c>
      <c r="E213" s="258">
        <f>E214</f>
        <v>4820</v>
      </c>
      <c r="F213" s="258">
        <f t="shared" ref="F213:H213" si="21">F214</f>
        <v>4820</v>
      </c>
      <c r="G213" s="258"/>
      <c r="H213" s="258">
        <f t="shared" si="21"/>
        <v>0</v>
      </c>
      <c r="I213" s="258"/>
      <c r="J213" s="366">
        <f t="shared" si="17"/>
        <v>100</v>
      </c>
    </row>
    <row r="214" spans="1:10" s="57" customFormat="1" ht="12">
      <c r="A214" s="476"/>
      <c r="B214" s="144">
        <v>92120</v>
      </c>
      <c r="C214" s="112"/>
      <c r="D214" s="87" t="s">
        <v>363</v>
      </c>
      <c r="E214" s="155">
        <f>E215</f>
        <v>4820</v>
      </c>
      <c r="F214" s="155">
        <f>F215</f>
        <v>4820</v>
      </c>
      <c r="G214" s="155"/>
      <c r="H214" s="155">
        <f>H215</f>
        <v>0</v>
      </c>
      <c r="I214" s="155"/>
      <c r="J214" s="363">
        <f t="shared" si="17"/>
        <v>100</v>
      </c>
    </row>
    <row r="215" spans="1:10" s="57" customFormat="1" ht="22.5">
      <c r="A215" s="477"/>
      <c r="B215" s="347"/>
      <c r="C215" s="112">
        <v>2910</v>
      </c>
      <c r="D215" s="87" t="s">
        <v>132</v>
      </c>
      <c r="E215" s="155">
        <v>4820</v>
      </c>
      <c r="F215" s="163">
        <v>4820</v>
      </c>
      <c r="G215" s="163"/>
      <c r="H215" s="163">
        <v>0</v>
      </c>
      <c r="I215" s="163"/>
      <c r="J215" s="363">
        <f t="shared" si="17"/>
        <v>100</v>
      </c>
    </row>
    <row r="216" spans="1:10" s="57" customFormat="1" ht="12">
      <c r="A216" s="490" t="s">
        <v>24</v>
      </c>
      <c r="B216" s="491"/>
      <c r="C216" s="491"/>
      <c r="D216" s="492"/>
      <c r="E216" s="160">
        <f>E11+E16+E22+E35+E44+E58+E73+E81+E91+E102+E135+E144+E178+E191+E208+E213</f>
        <v>53804282.699999996</v>
      </c>
      <c r="F216" s="160">
        <f t="shared" ref="F216:I216" si="22">F11+F16+F22+F35+F44+F58+F73+F81+F91+F102+F135+F144+F178+F191+F208+F213</f>
        <v>50734927.889999986</v>
      </c>
      <c r="G216" s="160">
        <f t="shared" si="22"/>
        <v>1335204.47</v>
      </c>
      <c r="H216" s="160">
        <f t="shared" si="22"/>
        <v>3234140.2100000004</v>
      </c>
      <c r="I216" s="160">
        <f t="shared" si="22"/>
        <v>1678431.03</v>
      </c>
      <c r="J216" s="366">
        <f t="shared" si="17"/>
        <v>100.30626818485584</v>
      </c>
    </row>
    <row r="217" spans="1:10" s="57" customFormat="1">
      <c r="A217"/>
      <c r="B217"/>
      <c r="C217"/>
      <c r="D217"/>
      <c r="E217" s="151"/>
      <c r="F217" s="37"/>
      <c r="G217" s="37"/>
      <c r="H217" s="37"/>
      <c r="I217" s="37"/>
      <c r="J217"/>
    </row>
    <row r="218" spans="1:10">
      <c r="F218" s="475"/>
      <c r="G218" s="168"/>
    </row>
    <row r="219" spans="1:10">
      <c r="F219" s="352"/>
      <c r="G219" s="352"/>
    </row>
    <row r="220" spans="1:10">
      <c r="E220" s="152"/>
    </row>
  </sheetData>
  <mergeCells count="58">
    <mergeCell ref="A209:A212"/>
    <mergeCell ref="B109:B110"/>
    <mergeCell ref="B112:B120"/>
    <mergeCell ref="A136:A143"/>
    <mergeCell ref="B146:B151"/>
    <mergeCell ref="B162:B164"/>
    <mergeCell ref="B202:B203"/>
    <mergeCell ref="A192:A207"/>
    <mergeCell ref="B197:B200"/>
    <mergeCell ref="B155:B160"/>
    <mergeCell ref="A179:A190"/>
    <mergeCell ref="B188:B190"/>
    <mergeCell ref="B205:B207"/>
    <mergeCell ref="B182:B186"/>
    <mergeCell ref="B169:B173"/>
    <mergeCell ref="B166:B167"/>
    <mergeCell ref="A145:A177"/>
    <mergeCell ref="B193:B195"/>
    <mergeCell ref="D1:J1"/>
    <mergeCell ref="A2:J2"/>
    <mergeCell ref="A3:J3"/>
    <mergeCell ref="A4:J4"/>
    <mergeCell ref="A5:J5"/>
    <mergeCell ref="J7:J9"/>
    <mergeCell ref="A7:A9"/>
    <mergeCell ref="B7:B9"/>
    <mergeCell ref="C7:C9"/>
    <mergeCell ref="D7:D9"/>
    <mergeCell ref="E7:E9"/>
    <mergeCell ref="H8:H9"/>
    <mergeCell ref="F8:F9"/>
    <mergeCell ref="F7:I7"/>
    <mergeCell ref="A216:D216"/>
    <mergeCell ref="B54:B57"/>
    <mergeCell ref="A17:A21"/>
    <mergeCell ref="A36:A43"/>
    <mergeCell ref="B37:B43"/>
    <mergeCell ref="B24:B32"/>
    <mergeCell ref="B48:B52"/>
    <mergeCell ref="B71:B72"/>
    <mergeCell ref="B104:B107"/>
    <mergeCell ref="B128:B130"/>
    <mergeCell ref="B122:B126"/>
    <mergeCell ref="A74:A80"/>
    <mergeCell ref="A103:A134"/>
    <mergeCell ref="B75:B78"/>
    <mergeCell ref="A214:A215"/>
    <mergeCell ref="D189:D190"/>
    <mergeCell ref="A12:A15"/>
    <mergeCell ref="B18:B19"/>
    <mergeCell ref="A23:A34"/>
    <mergeCell ref="A45:A57"/>
    <mergeCell ref="A92:A101"/>
    <mergeCell ref="A59:A72"/>
    <mergeCell ref="B62:B65"/>
    <mergeCell ref="A82:A90"/>
    <mergeCell ref="B83:B87"/>
    <mergeCell ref="B89:B90"/>
  </mergeCells>
  <pageMargins left="0.7" right="0.7" top="0.75" bottom="0.75" header="0.3" footer="0.3"/>
  <pageSetup paperSize="9" orientation="landscape" r:id="rId1"/>
  <headerFooter>
    <oddHeader>&amp;C&amp;P</oddHeader>
    <oddFooter>&amp;C&amp;"Times New (W1),Normalny"Tabela Nr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19"/>
  <sheetViews>
    <sheetView view="pageLayout" workbookViewId="0">
      <selection activeCell="E23" sqref="E23"/>
    </sheetView>
  </sheetViews>
  <sheetFormatPr defaultRowHeight="12.75"/>
  <cols>
    <col min="1" max="1" width="4.5703125" customWidth="1"/>
    <col min="2" max="2" width="6" customWidth="1"/>
    <col min="3" max="3" width="7" customWidth="1"/>
    <col min="4" max="4" width="5.5703125" customWidth="1"/>
    <col min="5" max="5" width="31.7109375" customWidth="1"/>
    <col min="6" max="6" width="13.7109375" customWidth="1"/>
    <col min="7" max="7" width="12.140625" customWidth="1"/>
    <col min="8" max="8" width="6.140625" customWidth="1"/>
  </cols>
  <sheetData>
    <row r="1" spans="1:8">
      <c r="A1" s="42"/>
      <c r="B1" s="42"/>
      <c r="C1" s="42"/>
      <c r="D1" s="42"/>
      <c r="E1" s="42"/>
      <c r="F1" s="44"/>
      <c r="G1" s="565" t="s">
        <v>281</v>
      </c>
      <c r="H1" s="565"/>
    </row>
    <row r="2" spans="1:8">
      <c r="A2" s="42"/>
      <c r="B2" s="42"/>
      <c r="C2" s="42"/>
      <c r="D2" s="42"/>
      <c r="E2" s="42"/>
      <c r="F2" s="182"/>
      <c r="G2" s="359"/>
      <c r="H2" s="359"/>
    </row>
    <row r="3" spans="1:8" ht="15.75">
      <c r="A3" s="553" t="s">
        <v>276</v>
      </c>
      <c r="B3" s="553"/>
      <c r="C3" s="553"/>
      <c r="D3" s="553"/>
      <c r="E3" s="553"/>
      <c r="F3" s="553"/>
      <c r="G3" s="553"/>
      <c r="H3" s="553"/>
    </row>
    <row r="4" spans="1:8" ht="15.75">
      <c r="A4" s="553" t="s">
        <v>277</v>
      </c>
      <c r="B4" s="553"/>
      <c r="C4" s="553"/>
      <c r="D4" s="553"/>
      <c r="E4" s="553"/>
      <c r="F4" s="553"/>
      <c r="G4" s="553"/>
      <c r="H4" s="553"/>
    </row>
    <row r="5" spans="1:8" ht="15.75">
      <c r="A5" s="553" t="s">
        <v>175</v>
      </c>
      <c r="B5" s="553"/>
      <c r="C5" s="553"/>
      <c r="D5" s="553"/>
      <c r="E5" s="553"/>
      <c r="F5" s="553"/>
      <c r="G5" s="553"/>
      <c r="H5" s="553"/>
    </row>
    <row r="6" spans="1:8" ht="15.75">
      <c r="A6" s="553" t="s">
        <v>284</v>
      </c>
      <c r="B6" s="553"/>
      <c r="C6" s="553"/>
      <c r="D6" s="553"/>
      <c r="E6" s="553"/>
      <c r="F6" s="553"/>
      <c r="G6" s="553"/>
      <c r="H6" s="553"/>
    </row>
    <row r="7" spans="1:8" ht="15.75">
      <c r="A7" s="563" t="s">
        <v>367</v>
      </c>
      <c r="B7" s="563"/>
      <c r="C7" s="563"/>
      <c r="D7" s="563"/>
      <c r="E7" s="563"/>
      <c r="F7" s="563"/>
      <c r="G7" s="563"/>
      <c r="H7" s="563"/>
    </row>
    <row r="8" spans="1:8" ht="15.75">
      <c r="A8" s="222"/>
      <c r="B8" s="222"/>
      <c r="C8" s="222"/>
      <c r="D8" s="222"/>
      <c r="E8" s="222"/>
      <c r="F8" s="44"/>
      <c r="G8" s="240" t="s">
        <v>161</v>
      </c>
      <c r="H8" s="44"/>
    </row>
    <row r="9" spans="1:8" ht="25.5">
      <c r="A9" s="241" t="s">
        <v>171</v>
      </c>
      <c r="B9" s="241" t="s">
        <v>0</v>
      </c>
      <c r="C9" s="241" t="s">
        <v>7</v>
      </c>
      <c r="D9" s="241" t="s">
        <v>192</v>
      </c>
      <c r="E9" s="241" t="s">
        <v>176</v>
      </c>
      <c r="F9" s="231" t="s">
        <v>271</v>
      </c>
      <c r="G9" s="232" t="s">
        <v>270</v>
      </c>
      <c r="H9" s="237" t="s">
        <v>135</v>
      </c>
    </row>
    <row r="10" spans="1:8">
      <c r="A10" s="199">
        <v>1</v>
      </c>
      <c r="B10" s="199">
        <v>2</v>
      </c>
      <c r="C10" s="199">
        <v>3</v>
      </c>
      <c r="D10" s="199">
        <v>4</v>
      </c>
      <c r="E10" s="199">
        <v>5</v>
      </c>
      <c r="F10" s="199">
        <v>6</v>
      </c>
      <c r="G10" s="238">
        <v>7</v>
      </c>
      <c r="H10" s="100">
        <v>8</v>
      </c>
    </row>
    <row r="11" spans="1:8" ht="51">
      <c r="A11" s="200">
        <v>1</v>
      </c>
      <c r="B11" s="200">
        <v>852</v>
      </c>
      <c r="C11" s="200">
        <v>85201</v>
      </c>
      <c r="D11" s="200">
        <v>2360</v>
      </c>
      <c r="E11" s="373" t="s">
        <v>278</v>
      </c>
      <c r="F11" s="380">
        <v>2021684.85</v>
      </c>
      <c r="G11" s="377">
        <v>2010884.85</v>
      </c>
      <c r="H11" s="378">
        <f t="shared" ref="H11:H16" si="0">G11/F11*100</f>
        <v>99.465792108992659</v>
      </c>
    </row>
    <row r="12" spans="1:8" ht="38.25">
      <c r="A12" s="200">
        <v>2</v>
      </c>
      <c r="B12" s="200">
        <v>852</v>
      </c>
      <c r="C12" s="200">
        <v>85201</v>
      </c>
      <c r="D12" s="200">
        <v>2810</v>
      </c>
      <c r="E12" s="373" t="s">
        <v>376</v>
      </c>
      <c r="F12" s="380">
        <v>1037451.1</v>
      </c>
      <c r="G12" s="379">
        <v>1037451.09</v>
      </c>
      <c r="H12" s="378">
        <f t="shared" si="0"/>
        <v>99.99999903609914</v>
      </c>
    </row>
    <row r="13" spans="1:8" ht="86.25" customHeight="1">
      <c r="A13" s="200">
        <v>3</v>
      </c>
      <c r="B13" s="200">
        <v>852</v>
      </c>
      <c r="C13" s="200">
        <v>85202</v>
      </c>
      <c r="D13" s="200">
        <v>2820</v>
      </c>
      <c r="E13" s="373" t="s">
        <v>279</v>
      </c>
      <c r="F13" s="380">
        <v>1709738</v>
      </c>
      <c r="G13" s="379">
        <v>1709738</v>
      </c>
      <c r="H13" s="378">
        <f t="shared" si="0"/>
        <v>100</v>
      </c>
    </row>
    <row r="14" spans="1:8" ht="63.75">
      <c r="A14" s="200">
        <v>4</v>
      </c>
      <c r="B14" s="200">
        <v>921</v>
      </c>
      <c r="C14" s="200">
        <v>92120</v>
      </c>
      <c r="D14" s="200">
        <v>2720</v>
      </c>
      <c r="E14" s="374" t="s">
        <v>261</v>
      </c>
      <c r="F14" s="380">
        <v>50000</v>
      </c>
      <c r="G14" s="379">
        <v>50000</v>
      </c>
      <c r="H14" s="378">
        <f t="shared" si="0"/>
        <v>100</v>
      </c>
    </row>
    <row r="15" spans="1:8" ht="51">
      <c r="A15" s="200">
        <v>5</v>
      </c>
      <c r="B15" s="200">
        <v>926</v>
      </c>
      <c r="C15" s="200">
        <v>92605</v>
      </c>
      <c r="D15" s="200">
        <v>2820</v>
      </c>
      <c r="E15" s="373" t="s">
        <v>280</v>
      </c>
      <c r="F15" s="380">
        <v>45000</v>
      </c>
      <c r="G15" s="379">
        <v>45000</v>
      </c>
      <c r="H15" s="378">
        <f t="shared" si="0"/>
        <v>100</v>
      </c>
    </row>
    <row r="16" spans="1:8">
      <c r="A16" s="564" t="s">
        <v>121</v>
      </c>
      <c r="B16" s="564"/>
      <c r="C16" s="564"/>
      <c r="D16" s="564"/>
      <c r="E16" s="564"/>
      <c r="F16" s="387">
        <f>SUM(F11:F15)</f>
        <v>4863873.95</v>
      </c>
      <c r="G16" s="388">
        <f>SUM(G11:G15)</f>
        <v>4853073.9399999995</v>
      </c>
      <c r="H16" s="381">
        <f t="shared" si="0"/>
        <v>99.777954566441835</v>
      </c>
    </row>
    <row r="17" spans="1:8" ht="15.75">
      <c r="A17" s="44"/>
      <c r="B17" s="44"/>
      <c r="C17" s="44"/>
      <c r="D17" s="44"/>
      <c r="E17" s="44"/>
      <c r="F17" s="44"/>
      <c r="G17" s="44"/>
      <c r="H17" s="224"/>
    </row>
    <row r="18" spans="1:8" ht="15.75">
      <c r="A18" s="44"/>
      <c r="B18" s="44"/>
      <c r="C18" s="44"/>
      <c r="D18" s="44"/>
      <c r="E18" s="44"/>
      <c r="F18" s="44"/>
      <c r="G18" s="44"/>
      <c r="H18" s="224"/>
    </row>
    <row r="19" spans="1:8" ht="15.75">
      <c r="A19" s="44"/>
      <c r="B19" s="44"/>
      <c r="C19" s="44"/>
      <c r="D19" s="44"/>
      <c r="E19" s="44"/>
      <c r="F19" s="44"/>
      <c r="G19" s="44"/>
      <c r="H19" s="224"/>
    </row>
  </sheetData>
  <mergeCells count="7">
    <mergeCell ref="A16:E16"/>
    <mergeCell ref="A6:H6"/>
    <mergeCell ref="A7:H7"/>
    <mergeCell ref="G1:H1"/>
    <mergeCell ref="A3:H3"/>
    <mergeCell ref="A4:H4"/>
    <mergeCell ref="A5:H5"/>
  </mergeCells>
  <pageMargins left="0.7" right="0.7" top="0.75" bottom="0.75" header="0.3" footer="0.3"/>
  <pageSetup paperSize="9" orientation="portrait" r:id="rId1"/>
  <headerFooter>
    <oddFooter>&amp;C&amp;"Times New (W1),Normalny"&amp;9Tabela Nr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46"/>
  <sheetViews>
    <sheetView view="pageLayout" topLeftCell="A16" workbookViewId="0">
      <selection activeCell="F17" sqref="F17"/>
    </sheetView>
  </sheetViews>
  <sheetFormatPr defaultRowHeight="12.75"/>
  <cols>
    <col min="1" max="1" width="3.85546875" customWidth="1"/>
    <col min="2" max="2" width="6.28515625" customWidth="1"/>
    <col min="3" max="3" width="7.140625" customWidth="1"/>
    <col min="4" max="4" width="6.28515625" customWidth="1"/>
    <col min="5" max="5" width="32.5703125" customWidth="1"/>
    <col min="6" max="6" width="12" customWidth="1"/>
    <col min="7" max="7" width="12.42578125" bestFit="1" customWidth="1"/>
    <col min="8" max="8" width="8.5703125" customWidth="1"/>
    <col min="9" max="9" width="6.85546875" customWidth="1"/>
  </cols>
  <sheetData>
    <row r="1" spans="1:8">
      <c r="A1" s="42"/>
      <c r="B1" s="42"/>
      <c r="C1" s="42"/>
      <c r="D1" s="42"/>
      <c r="E1" s="42"/>
      <c r="F1" s="42"/>
      <c r="G1" s="566" t="s">
        <v>275</v>
      </c>
      <c r="H1" s="566"/>
    </row>
    <row r="2" spans="1:8" ht="15.75" customHeight="1">
      <c r="A2" s="553" t="s">
        <v>276</v>
      </c>
      <c r="B2" s="553"/>
      <c r="C2" s="553"/>
      <c r="D2" s="553"/>
      <c r="E2" s="553"/>
      <c r="F2" s="553"/>
      <c r="G2" s="553"/>
      <c r="H2" s="553"/>
    </row>
    <row r="3" spans="1:8" ht="15.75" customHeight="1">
      <c r="A3" s="553" t="s">
        <v>277</v>
      </c>
      <c r="B3" s="553"/>
      <c r="C3" s="553"/>
      <c r="D3" s="553"/>
      <c r="E3" s="553"/>
      <c r="F3" s="553"/>
      <c r="G3" s="553"/>
      <c r="H3" s="553"/>
    </row>
    <row r="4" spans="1:8" ht="15.75" customHeight="1">
      <c r="A4" s="553" t="s">
        <v>285</v>
      </c>
      <c r="B4" s="553"/>
      <c r="C4" s="553"/>
      <c r="D4" s="553"/>
      <c r="E4" s="553"/>
      <c r="F4" s="553"/>
      <c r="G4" s="553"/>
      <c r="H4" s="553"/>
    </row>
    <row r="5" spans="1:8" ht="15.75">
      <c r="A5" s="563" t="s">
        <v>367</v>
      </c>
      <c r="B5" s="563"/>
      <c r="C5" s="563"/>
      <c r="D5" s="563"/>
      <c r="E5" s="563"/>
      <c r="F5" s="563"/>
      <c r="G5" s="563"/>
      <c r="H5" s="563"/>
    </row>
    <row r="6" spans="1:8" ht="15.75">
      <c r="A6" s="222"/>
      <c r="B6" s="222"/>
      <c r="C6" s="222"/>
      <c r="D6" s="222"/>
      <c r="E6" s="222"/>
      <c r="F6" s="222"/>
      <c r="G6" s="240" t="s">
        <v>161</v>
      </c>
    </row>
    <row r="7" spans="1:8" ht="25.5">
      <c r="A7" s="241" t="s">
        <v>171</v>
      </c>
      <c r="B7" s="241" t="s">
        <v>0</v>
      </c>
      <c r="C7" s="241" t="s">
        <v>7</v>
      </c>
      <c r="D7" s="241" t="s">
        <v>192</v>
      </c>
      <c r="E7" s="241" t="s">
        <v>176</v>
      </c>
      <c r="F7" s="231" t="s">
        <v>271</v>
      </c>
      <c r="G7" s="232" t="s">
        <v>270</v>
      </c>
      <c r="H7" s="248" t="s">
        <v>135</v>
      </c>
    </row>
    <row r="8" spans="1:8">
      <c r="A8" s="199">
        <v>1</v>
      </c>
      <c r="B8" s="199">
        <v>2</v>
      </c>
      <c r="C8" s="199">
        <v>3</v>
      </c>
      <c r="D8" s="199">
        <v>4</v>
      </c>
      <c r="E8" s="199">
        <v>5</v>
      </c>
      <c r="F8" s="199">
        <v>6</v>
      </c>
      <c r="G8" s="199">
        <v>7</v>
      </c>
      <c r="H8" s="199">
        <v>8</v>
      </c>
    </row>
    <row r="9" spans="1:8" ht="89.25">
      <c r="A9" s="242">
        <v>1</v>
      </c>
      <c r="B9" s="242">
        <v>600</v>
      </c>
      <c r="C9" s="242">
        <v>60016</v>
      </c>
      <c r="D9" s="242">
        <v>6300</v>
      </c>
      <c r="E9" s="428" t="s">
        <v>390</v>
      </c>
      <c r="F9" s="250">
        <v>100000</v>
      </c>
      <c r="G9" s="250">
        <v>100000</v>
      </c>
      <c r="H9" s="249">
        <f>G9/F9*100</f>
        <v>100</v>
      </c>
    </row>
    <row r="10" spans="1:8" ht="54" customHeight="1">
      <c r="A10" s="242">
        <v>2</v>
      </c>
      <c r="B10" s="242">
        <v>851</v>
      </c>
      <c r="C10" s="242">
        <v>85141</v>
      </c>
      <c r="D10" s="242">
        <v>6300</v>
      </c>
      <c r="E10" s="243" t="s">
        <v>391</v>
      </c>
      <c r="F10" s="250">
        <v>5000</v>
      </c>
      <c r="G10" s="250">
        <v>5000</v>
      </c>
      <c r="H10" s="249">
        <f t="shared" ref="H10:H13" si="0">G10/F10*100</f>
        <v>100</v>
      </c>
    </row>
    <row r="11" spans="1:8" ht="40.5" customHeight="1">
      <c r="A11" s="202">
        <v>3</v>
      </c>
      <c r="B11" s="202">
        <v>926</v>
      </c>
      <c r="C11" s="202">
        <v>92601</v>
      </c>
      <c r="D11" s="202">
        <v>6300</v>
      </c>
      <c r="E11" s="244" t="s">
        <v>392</v>
      </c>
      <c r="F11" s="264">
        <v>1000000</v>
      </c>
      <c r="G11" s="264">
        <v>1000000</v>
      </c>
      <c r="H11" s="249">
        <f t="shared" si="0"/>
        <v>100</v>
      </c>
    </row>
    <row r="12" spans="1:8" ht="40.5" customHeight="1">
      <c r="A12" s="242">
        <v>4</v>
      </c>
      <c r="B12" s="242">
        <v>926</v>
      </c>
      <c r="C12" s="242">
        <v>92695</v>
      </c>
      <c r="D12" s="242">
        <v>2710</v>
      </c>
      <c r="E12" s="245" t="s">
        <v>283</v>
      </c>
      <c r="F12" s="250">
        <f>'[1]tab 2'!F446</f>
        <v>6743</v>
      </c>
      <c r="G12" s="250">
        <v>6743</v>
      </c>
      <c r="H12" s="249">
        <f t="shared" si="0"/>
        <v>100</v>
      </c>
    </row>
    <row r="13" spans="1:8">
      <c r="A13" s="246" t="s">
        <v>156</v>
      </c>
      <c r="B13" s="247"/>
      <c r="C13" s="247"/>
      <c r="D13" s="247"/>
      <c r="E13" s="247"/>
      <c r="F13" s="251">
        <f>F9+F10+F11+F12</f>
        <v>1111743</v>
      </c>
      <c r="G13" s="251">
        <f>G9+G10+G11+G12</f>
        <v>1111743</v>
      </c>
      <c r="H13" s="252">
        <f t="shared" si="0"/>
        <v>100</v>
      </c>
    </row>
    <row r="15" spans="1:8">
      <c r="A15" s="42"/>
      <c r="B15" s="42"/>
      <c r="C15" s="42"/>
      <c r="D15" s="42"/>
      <c r="E15" s="42"/>
      <c r="F15" s="42"/>
      <c r="G15" s="566"/>
      <c r="H15" s="566"/>
    </row>
    <row r="16" spans="1:8">
      <c r="A16" s="42"/>
      <c r="B16" s="42"/>
      <c r="C16" s="42"/>
      <c r="D16" s="42"/>
      <c r="E16" s="42"/>
      <c r="F16" s="42"/>
      <c r="G16" s="42"/>
    </row>
    <row r="17" spans="1:9">
      <c r="H17" s="142"/>
      <c r="I17" s="143"/>
    </row>
    <row r="18" spans="1:9">
      <c r="A18" s="140"/>
      <c r="B18" s="140"/>
      <c r="C18" s="140"/>
      <c r="D18" s="140"/>
      <c r="E18" s="140"/>
      <c r="F18" s="140"/>
      <c r="G18" s="141"/>
      <c r="H18" s="142"/>
      <c r="I18" s="143"/>
    </row>
    <row r="27" spans="1:9" ht="57.75" customHeight="1"/>
    <row r="28" spans="1:9" ht="30.75" customHeight="1"/>
    <row r="29" spans="1:9" ht="30" customHeight="1"/>
    <row r="30" spans="1:9" ht="30.75" customHeight="1"/>
    <row r="31" spans="1:9" ht="32.25" customHeight="1"/>
    <row r="32" spans="1:9" ht="32.25" customHeight="1"/>
    <row r="33" spans="1:9" ht="32.25" customHeight="1"/>
    <row r="34" spans="1:9" ht="32.25" customHeight="1"/>
    <row r="46" spans="1:9" s="52" customFormat="1">
      <c r="A46"/>
      <c r="B46"/>
      <c r="C46"/>
      <c r="D46"/>
      <c r="E46"/>
      <c r="F46"/>
      <c r="G46"/>
      <c r="H46"/>
      <c r="I46"/>
    </row>
  </sheetData>
  <mergeCells count="6">
    <mergeCell ref="G1:H1"/>
    <mergeCell ref="G15:H15"/>
    <mergeCell ref="A5:H5"/>
    <mergeCell ref="A2:H2"/>
    <mergeCell ref="A3:H3"/>
    <mergeCell ref="A4:H4"/>
  </mergeCells>
  <pageMargins left="0.7" right="0.7" top="0.75" bottom="0.75" header="0.3" footer="0.3"/>
  <pageSetup paperSize="9" orientation="portrait" r:id="rId1"/>
  <headerFooter>
    <oddFooter>&amp;C&amp;"Times New (W1),Normalny"Tabela Nr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"/>
  <sheetViews>
    <sheetView view="pageLayout" topLeftCell="A4" workbookViewId="0">
      <selection activeCell="G41" sqref="G41:G43"/>
    </sheetView>
  </sheetViews>
  <sheetFormatPr defaultRowHeight="12.75"/>
  <cols>
    <col min="1" max="1" width="4.5703125" customWidth="1"/>
    <col min="2" max="2" width="6.42578125" customWidth="1"/>
    <col min="3" max="3" width="7.85546875" customWidth="1"/>
    <col min="5" max="5" width="10.7109375" customWidth="1"/>
    <col min="6" max="6" width="17.7109375" customWidth="1"/>
    <col min="7" max="7" width="12.28515625" customWidth="1"/>
    <col min="8" max="8" width="12" customWidth="1"/>
    <col min="9" max="9" width="6.42578125" customWidth="1"/>
  </cols>
  <sheetData>
    <row r="1" spans="1:9">
      <c r="A1" s="140"/>
      <c r="B1" s="140"/>
      <c r="C1" s="140"/>
      <c r="D1" s="140"/>
      <c r="E1" s="140"/>
      <c r="F1" s="140"/>
      <c r="G1" s="141"/>
      <c r="H1" s="569" t="s">
        <v>282</v>
      </c>
      <c r="I1" s="569"/>
    </row>
    <row r="2" spans="1:9">
      <c r="A2" s="140"/>
      <c r="B2" s="140"/>
      <c r="C2" s="140"/>
      <c r="D2" s="140"/>
      <c r="E2" s="140"/>
      <c r="F2" s="140"/>
      <c r="G2" s="141"/>
      <c r="H2" s="142"/>
      <c r="I2" s="143"/>
    </row>
    <row r="3" spans="1:9" ht="15.75">
      <c r="A3" s="552" t="s">
        <v>178</v>
      </c>
      <c r="B3" s="552"/>
      <c r="C3" s="552"/>
      <c r="D3" s="552"/>
      <c r="E3" s="552"/>
      <c r="F3" s="552"/>
      <c r="G3" s="552"/>
      <c r="H3" s="552"/>
      <c r="I3" s="552"/>
    </row>
    <row r="4" spans="1:9" ht="15.75">
      <c r="A4" s="552" t="s">
        <v>179</v>
      </c>
      <c r="B4" s="552"/>
      <c r="C4" s="552"/>
      <c r="D4" s="552"/>
      <c r="E4" s="552"/>
      <c r="F4" s="552"/>
      <c r="G4" s="552"/>
      <c r="H4" s="552"/>
      <c r="I4" s="552"/>
    </row>
    <row r="5" spans="1:9" ht="15.75">
      <c r="A5" s="552" t="s">
        <v>353</v>
      </c>
      <c r="B5" s="552"/>
      <c r="C5" s="552"/>
      <c r="D5" s="552"/>
      <c r="E5" s="552"/>
      <c r="F5" s="552"/>
      <c r="G5" s="552"/>
      <c r="H5" s="552"/>
      <c r="I5" s="552"/>
    </row>
    <row r="6" spans="1:9" ht="15.75">
      <c r="A6" s="95"/>
      <c r="B6" s="95"/>
      <c r="C6" s="95"/>
      <c r="D6" s="221"/>
      <c r="E6" s="95"/>
      <c r="F6" s="95"/>
      <c r="G6" s="102"/>
      <c r="H6" s="81" t="s">
        <v>161</v>
      </c>
      <c r="I6" s="82"/>
    </row>
    <row r="7" spans="1:9">
      <c r="A7" s="97" t="s">
        <v>171</v>
      </c>
      <c r="B7" s="97" t="s">
        <v>0</v>
      </c>
      <c r="C7" s="97" t="s">
        <v>7</v>
      </c>
      <c r="D7" s="567" t="s">
        <v>176</v>
      </c>
      <c r="E7" s="568"/>
      <c r="F7" s="98" t="s">
        <v>180</v>
      </c>
      <c r="G7" s="98" t="s">
        <v>157</v>
      </c>
      <c r="H7" s="97" t="s">
        <v>125</v>
      </c>
      <c r="I7" s="97" t="s">
        <v>135</v>
      </c>
    </row>
    <row r="8" spans="1:9">
      <c r="A8" s="99">
        <v>1</v>
      </c>
      <c r="B8" s="99">
        <v>2</v>
      </c>
      <c r="C8" s="99">
        <v>3</v>
      </c>
      <c r="D8" s="573">
        <v>4</v>
      </c>
      <c r="E8" s="574"/>
      <c r="F8" s="99">
        <v>5</v>
      </c>
      <c r="G8" s="99">
        <v>6</v>
      </c>
      <c r="H8" s="103">
        <v>7</v>
      </c>
      <c r="I8" s="103">
        <v>8</v>
      </c>
    </row>
    <row r="9" spans="1:9" ht="54" customHeight="1">
      <c r="A9" s="266">
        <v>1</v>
      </c>
      <c r="B9" s="263">
        <v>754</v>
      </c>
      <c r="C9" s="263">
        <v>75405</v>
      </c>
      <c r="D9" s="577" t="s">
        <v>288</v>
      </c>
      <c r="E9" s="578"/>
      <c r="F9" s="267" t="s">
        <v>289</v>
      </c>
      <c r="G9" s="268">
        <v>15000</v>
      </c>
      <c r="H9" s="269">
        <v>15000</v>
      </c>
      <c r="I9" s="108">
        <f>H9/G9*100</f>
        <v>100</v>
      </c>
    </row>
    <row r="10" spans="1:9" ht="38.25">
      <c r="A10" s="104">
        <v>2</v>
      </c>
      <c r="B10" s="94">
        <v>754</v>
      </c>
      <c r="C10" s="94">
        <v>75406</v>
      </c>
      <c r="D10" s="575" t="s">
        <v>274</v>
      </c>
      <c r="E10" s="576"/>
      <c r="F10" s="105" t="s">
        <v>273</v>
      </c>
      <c r="G10" s="270">
        <v>5000</v>
      </c>
      <c r="H10" s="271">
        <v>4999.96</v>
      </c>
      <c r="I10" s="108">
        <f>H10/G10*100</f>
        <v>99.999200000000002</v>
      </c>
    </row>
    <row r="11" spans="1:9">
      <c r="A11" s="570" t="s">
        <v>156</v>
      </c>
      <c r="B11" s="571"/>
      <c r="C11" s="571"/>
      <c r="D11" s="571"/>
      <c r="E11" s="571"/>
      <c r="F11" s="572"/>
      <c r="G11" s="272">
        <f>SUM(G9:G10)</f>
        <v>20000</v>
      </c>
      <c r="H11" s="273">
        <f>SUM(H9:H10)</f>
        <v>19999.96</v>
      </c>
      <c r="I11" s="239">
        <f>H11/G11*100</f>
        <v>99.999799999999993</v>
      </c>
    </row>
  </sheetData>
  <mergeCells count="9">
    <mergeCell ref="D7:E7"/>
    <mergeCell ref="A5:I5"/>
    <mergeCell ref="H1:I1"/>
    <mergeCell ref="A3:I3"/>
    <mergeCell ref="A11:F11"/>
    <mergeCell ref="A4:I4"/>
    <mergeCell ref="D8:E8"/>
    <mergeCell ref="D10:E10"/>
    <mergeCell ref="D9:E9"/>
  </mergeCells>
  <pageMargins left="0.7" right="0.7" top="0.75" bottom="0.75" header="0.3" footer="0.3"/>
  <pageSetup paperSize="9" orientation="portrait" r:id="rId1"/>
  <headerFooter>
    <oddFooter>&amp;CTabela Nr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G33"/>
  <sheetViews>
    <sheetView view="pageLayout" workbookViewId="0">
      <selection activeCell="I29" sqref="I29"/>
    </sheetView>
  </sheetViews>
  <sheetFormatPr defaultRowHeight="12.75"/>
  <cols>
    <col min="1" max="1" width="4.140625" customWidth="1"/>
    <col min="2" max="2" width="5.140625" customWidth="1"/>
    <col min="3" max="3" width="31" customWidth="1"/>
    <col min="4" max="4" width="10.140625" customWidth="1"/>
    <col min="5" max="5" width="10.42578125" customWidth="1"/>
    <col min="6" max="6" width="10.28515625" customWidth="1"/>
    <col min="7" max="7" width="10.140625" customWidth="1"/>
    <col min="8" max="8" width="10" customWidth="1"/>
    <col min="9" max="9" width="7.42578125" customWidth="1"/>
    <col min="10" max="10" width="9.7109375" customWidth="1"/>
    <col min="11" max="11" width="9" customWidth="1"/>
    <col min="12" max="12" width="6.85546875" customWidth="1"/>
    <col min="13" max="13" width="8.42578125" customWidth="1"/>
    <col min="14" max="14" width="6.42578125" customWidth="1"/>
  </cols>
  <sheetData>
    <row r="1" spans="1:33">
      <c r="A1" s="42"/>
      <c r="B1" s="42"/>
      <c r="C1" s="42"/>
      <c r="D1" s="535" t="s">
        <v>384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</row>
    <row r="2" spans="1:33">
      <c r="A2" s="496" t="s">
        <v>6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</row>
    <row r="3" spans="1:33">
      <c r="A3" s="496" t="s">
        <v>3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33" ht="14.25" customHeight="1">
      <c r="A4" s="586" t="s">
        <v>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</row>
    <row r="5" spans="1:33">
      <c r="A5" s="496" t="s">
        <v>353</v>
      </c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</row>
    <row r="6" spans="1:3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 t="s">
        <v>161</v>
      </c>
    </row>
    <row r="7" spans="1:33" s="6" customFormat="1" ht="12.75" customHeight="1">
      <c r="A7" s="497" t="s">
        <v>0</v>
      </c>
      <c r="B7" s="497" t="s">
        <v>7</v>
      </c>
      <c r="C7" s="497" t="s">
        <v>1</v>
      </c>
      <c r="D7" s="497" t="s">
        <v>154</v>
      </c>
      <c r="E7" s="497" t="s">
        <v>125</v>
      </c>
      <c r="F7" s="584" t="s">
        <v>147</v>
      </c>
      <c r="G7" s="585"/>
      <c r="H7" s="585"/>
      <c r="I7" s="585"/>
      <c r="J7" s="585"/>
      <c r="K7" s="585"/>
      <c r="L7" s="585"/>
      <c r="M7" s="585"/>
      <c r="N7" s="497" t="s">
        <v>122</v>
      </c>
    </row>
    <row r="8" spans="1:33" s="6" customFormat="1" ht="12.75" customHeight="1">
      <c r="A8" s="498"/>
      <c r="B8" s="498"/>
      <c r="C8" s="498"/>
      <c r="D8" s="498"/>
      <c r="E8" s="498"/>
      <c r="F8" s="476" t="s">
        <v>8</v>
      </c>
      <c r="G8" s="58" t="s">
        <v>9</v>
      </c>
      <c r="H8" s="58"/>
      <c r="I8" s="58"/>
      <c r="J8" s="58"/>
      <c r="K8" s="58"/>
      <c r="L8" s="59"/>
      <c r="M8" s="582" t="s">
        <v>146</v>
      </c>
      <c r="N8" s="498"/>
    </row>
    <row r="9" spans="1:33" s="6" customFormat="1" ht="60" customHeight="1">
      <c r="A9" s="499"/>
      <c r="B9" s="499"/>
      <c r="C9" s="499"/>
      <c r="D9" s="499"/>
      <c r="E9" s="499"/>
      <c r="F9" s="478"/>
      <c r="G9" s="93" t="s">
        <v>210</v>
      </c>
      <c r="H9" s="93" t="s">
        <v>214</v>
      </c>
      <c r="I9" s="93" t="s">
        <v>211</v>
      </c>
      <c r="J9" s="93" t="s">
        <v>212</v>
      </c>
      <c r="K9" s="173" t="s">
        <v>213</v>
      </c>
      <c r="L9" s="93" t="s">
        <v>10</v>
      </c>
      <c r="M9" s="583"/>
      <c r="N9" s="499"/>
    </row>
    <row r="10" spans="1:33" s="51" customFormat="1" ht="11.25">
      <c r="A10" s="85">
        <v>1</v>
      </c>
      <c r="B10" s="85">
        <v>2</v>
      </c>
      <c r="C10" s="85">
        <v>3</v>
      </c>
      <c r="D10" s="85">
        <v>4</v>
      </c>
      <c r="E10" s="85">
        <v>5</v>
      </c>
      <c r="F10" s="85">
        <v>6</v>
      </c>
      <c r="G10" s="85">
        <v>7</v>
      </c>
      <c r="H10" s="85">
        <v>8</v>
      </c>
      <c r="I10" s="85">
        <v>9</v>
      </c>
      <c r="J10" s="85">
        <v>10</v>
      </c>
      <c r="K10" s="85">
        <v>11</v>
      </c>
      <c r="L10" s="85">
        <v>12</v>
      </c>
      <c r="M10" s="85">
        <v>13</v>
      </c>
      <c r="N10" s="85">
        <v>14</v>
      </c>
    </row>
    <row r="11" spans="1:33" s="55" customFormat="1" ht="12">
      <c r="A11" s="337" t="s">
        <v>12</v>
      </c>
      <c r="B11" s="338"/>
      <c r="C11" s="339" t="s">
        <v>25</v>
      </c>
      <c r="D11" s="187">
        <f>D12</f>
        <v>50000</v>
      </c>
      <c r="E11" s="187">
        <f t="shared" ref="E11:M11" si="0">E12</f>
        <v>49834</v>
      </c>
      <c r="F11" s="187">
        <f t="shared" si="0"/>
        <v>49834</v>
      </c>
      <c r="G11" s="187">
        <f t="shared" si="0"/>
        <v>0</v>
      </c>
      <c r="H11" s="187">
        <f t="shared" si="0"/>
        <v>49834</v>
      </c>
      <c r="I11" s="187">
        <f t="shared" si="0"/>
        <v>0</v>
      </c>
      <c r="J11" s="187">
        <f t="shared" si="0"/>
        <v>0</v>
      </c>
      <c r="K11" s="187">
        <f t="shared" si="0"/>
        <v>0</v>
      </c>
      <c r="L11" s="187">
        <f t="shared" si="0"/>
        <v>0</v>
      </c>
      <c r="M11" s="187">
        <f t="shared" si="0"/>
        <v>0</v>
      </c>
      <c r="N11" s="193">
        <f>E11/D11*100</f>
        <v>99.668000000000006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</row>
    <row r="12" spans="1:33" s="57" customFormat="1" ht="22.5">
      <c r="A12" s="135" t="s">
        <v>11</v>
      </c>
      <c r="B12" s="86" t="s">
        <v>46</v>
      </c>
      <c r="C12" s="390" t="s">
        <v>62</v>
      </c>
      <c r="D12" s="190">
        <v>50000</v>
      </c>
      <c r="E12" s="190">
        <v>49834</v>
      </c>
      <c r="F12" s="190">
        <f>E12</f>
        <v>49834</v>
      </c>
      <c r="G12" s="190">
        <v>0</v>
      </c>
      <c r="H12" s="190">
        <f>F12-G12</f>
        <v>49834</v>
      </c>
      <c r="I12" s="190"/>
      <c r="J12" s="190"/>
      <c r="K12" s="190">
        <v>0</v>
      </c>
      <c r="L12" s="190">
        <v>0</v>
      </c>
      <c r="M12" s="191">
        <v>0</v>
      </c>
      <c r="N12" s="318">
        <f t="shared" ref="N12:N31" si="1">E12/D12*100</f>
        <v>99.668000000000006</v>
      </c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</row>
    <row r="13" spans="1:33" s="48" customFormat="1" ht="12">
      <c r="A13" s="338">
        <v>700</v>
      </c>
      <c r="B13" s="337"/>
      <c r="C13" s="341" t="s">
        <v>27</v>
      </c>
      <c r="D13" s="188">
        <f>D14</f>
        <v>52000</v>
      </c>
      <c r="E13" s="188">
        <f t="shared" ref="E13:M13" si="2">E14</f>
        <v>51973.33</v>
      </c>
      <c r="F13" s="188">
        <f t="shared" si="2"/>
        <v>51973.33</v>
      </c>
      <c r="G13" s="188">
        <f t="shared" si="2"/>
        <v>0</v>
      </c>
      <c r="H13" s="188">
        <f t="shared" si="2"/>
        <v>51973.33</v>
      </c>
      <c r="I13" s="188">
        <f t="shared" si="2"/>
        <v>0</v>
      </c>
      <c r="J13" s="188">
        <f t="shared" si="2"/>
        <v>0</v>
      </c>
      <c r="K13" s="188">
        <f t="shared" si="2"/>
        <v>0</v>
      </c>
      <c r="L13" s="188">
        <f t="shared" si="2"/>
        <v>0</v>
      </c>
      <c r="M13" s="188">
        <f t="shared" si="2"/>
        <v>0</v>
      </c>
      <c r="N13" s="193">
        <f t="shared" si="1"/>
        <v>99.948711538461538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s="57" customFormat="1" ht="12">
      <c r="A14" s="135" t="s">
        <v>11</v>
      </c>
      <c r="B14" s="135">
        <v>70005</v>
      </c>
      <c r="C14" s="340" t="s">
        <v>68</v>
      </c>
      <c r="D14" s="190">
        <v>52000</v>
      </c>
      <c r="E14" s="190">
        <v>51973.33</v>
      </c>
      <c r="F14" s="190">
        <f>E14</f>
        <v>51973.33</v>
      </c>
      <c r="G14" s="190">
        <v>0</v>
      </c>
      <c r="H14" s="190">
        <f>F14-G14</f>
        <v>51973.33</v>
      </c>
      <c r="I14" s="190"/>
      <c r="J14" s="190"/>
      <c r="K14" s="190"/>
      <c r="L14" s="190"/>
      <c r="M14" s="191"/>
      <c r="N14" s="318">
        <f t="shared" si="1"/>
        <v>99.948711538461538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</row>
    <row r="15" spans="1:33" s="48" customFormat="1" ht="12">
      <c r="A15" s="342">
        <v>710</v>
      </c>
      <c r="B15" s="338"/>
      <c r="C15" s="341" t="s">
        <v>101</v>
      </c>
      <c r="D15" s="188">
        <f>D16+D17+D18</f>
        <v>415000</v>
      </c>
      <c r="E15" s="188">
        <f t="shared" ref="E15:M15" si="3">E16+E17+E18</f>
        <v>414941.74</v>
      </c>
      <c r="F15" s="188">
        <f t="shared" si="3"/>
        <v>414941.74</v>
      </c>
      <c r="G15" s="188">
        <f t="shared" si="3"/>
        <v>246674.87000000002</v>
      </c>
      <c r="H15" s="188">
        <f t="shared" si="3"/>
        <v>168266.86999999997</v>
      </c>
      <c r="I15" s="188">
        <f t="shared" si="3"/>
        <v>0</v>
      </c>
      <c r="J15" s="188">
        <f t="shared" si="3"/>
        <v>0</v>
      </c>
      <c r="K15" s="188">
        <f t="shared" si="3"/>
        <v>0</v>
      </c>
      <c r="L15" s="188">
        <f t="shared" si="3"/>
        <v>0</v>
      </c>
      <c r="M15" s="188">
        <f t="shared" si="3"/>
        <v>0</v>
      </c>
      <c r="N15" s="193">
        <f t="shared" si="1"/>
        <v>99.985961445783133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s="57" customFormat="1" ht="12.75" customHeight="1">
      <c r="A16" s="481" t="s">
        <v>11</v>
      </c>
      <c r="B16" s="343">
        <v>71013</v>
      </c>
      <c r="C16" s="340" t="s">
        <v>102</v>
      </c>
      <c r="D16" s="190">
        <v>107000</v>
      </c>
      <c r="E16" s="190">
        <v>107000</v>
      </c>
      <c r="F16" s="190">
        <f>E16</f>
        <v>107000</v>
      </c>
      <c r="G16" s="190"/>
      <c r="H16" s="190">
        <f>F16</f>
        <v>107000</v>
      </c>
      <c r="I16" s="190"/>
      <c r="J16" s="190"/>
      <c r="K16" s="190"/>
      <c r="L16" s="190"/>
      <c r="M16" s="191"/>
      <c r="N16" s="318">
        <f t="shared" si="1"/>
        <v>100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</row>
    <row r="17" spans="1:33" s="57" customFormat="1" ht="12.75" customHeight="1">
      <c r="A17" s="482"/>
      <c r="B17" s="343">
        <v>71014</v>
      </c>
      <c r="C17" s="87" t="s">
        <v>70</v>
      </c>
      <c r="D17" s="190">
        <v>22000</v>
      </c>
      <c r="E17" s="190">
        <v>21947</v>
      </c>
      <c r="F17" s="190">
        <f>E17</f>
        <v>21947</v>
      </c>
      <c r="G17" s="190"/>
      <c r="H17" s="190">
        <f>F17</f>
        <v>21947</v>
      </c>
      <c r="I17" s="190"/>
      <c r="J17" s="190"/>
      <c r="K17" s="190"/>
      <c r="L17" s="190"/>
      <c r="M17" s="191"/>
      <c r="N17" s="318">
        <f t="shared" si="1"/>
        <v>99.759090909090915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</row>
    <row r="18" spans="1:33" s="57" customFormat="1" ht="13.5" customHeight="1">
      <c r="A18" s="483"/>
      <c r="B18" s="343">
        <v>71015</v>
      </c>
      <c r="C18" s="87" t="s">
        <v>71</v>
      </c>
      <c r="D18" s="190">
        <v>286000</v>
      </c>
      <c r="E18" s="190">
        <v>285994.74</v>
      </c>
      <c r="F18" s="190">
        <f>E18</f>
        <v>285994.74</v>
      </c>
      <c r="G18" s="190">
        <f>71244.8+124059.52+15360.54+32351.79+3658.22</f>
        <v>246674.87000000002</v>
      </c>
      <c r="H18" s="190">
        <f>F18-G18</f>
        <v>39319.869999999966</v>
      </c>
      <c r="I18" s="190"/>
      <c r="J18" s="190"/>
      <c r="K18" s="190"/>
      <c r="L18" s="190"/>
      <c r="M18" s="191"/>
      <c r="N18" s="318">
        <f t="shared" si="1"/>
        <v>99.998160839160832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</row>
    <row r="19" spans="1:33" s="48" customFormat="1" ht="12">
      <c r="A19" s="344">
        <v>750</v>
      </c>
      <c r="B19" s="338"/>
      <c r="C19" s="345" t="s">
        <v>29</v>
      </c>
      <c r="D19" s="188">
        <f>D20+D21</f>
        <v>124006</v>
      </c>
      <c r="E19" s="188">
        <f t="shared" ref="E19:M19" si="4">E20+E21</f>
        <v>124005.66</v>
      </c>
      <c r="F19" s="188">
        <f t="shared" si="4"/>
        <v>124005.66</v>
      </c>
      <c r="G19" s="188">
        <f t="shared" si="4"/>
        <v>119825.02</v>
      </c>
      <c r="H19" s="188">
        <f t="shared" si="4"/>
        <v>4180.6400000000012</v>
      </c>
      <c r="I19" s="188">
        <f t="shared" si="4"/>
        <v>0</v>
      </c>
      <c r="J19" s="188">
        <f t="shared" si="4"/>
        <v>0</v>
      </c>
      <c r="K19" s="188">
        <f t="shared" si="4"/>
        <v>0</v>
      </c>
      <c r="L19" s="188">
        <f t="shared" si="4"/>
        <v>0</v>
      </c>
      <c r="M19" s="188">
        <f t="shared" si="4"/>
        <v>0</v>
      </c>
      <c r="N19" s="193">
        <f t="shared" si="1"/>
        <v>99.999725819718392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 s="57" customFormat="1" ht="12">
      <c r="A20" s="481" t="s">
        <v>11</v>
      </c>
      <c r="B20" s="343">
        <v>75011</v>
      </c>
      <c r="C20" s="87" t="s">
        <v>73</v>
      </c>
      <c r="D20" s="190">
        <v>105200</v>
      </c>
      <c r="E20" s="190">
        <v>105200</v>
      </c>
      <c r="F20" s="190">
        <f>E20</f>
        <v>105200</v>
      </c>
      <c r="G20" s="190">
        <f>F20</f>
        <v>105200</v>
      </c>
      <c r="H20" s="190">
        <v>0</v>
      </c>
      <c r="I20" s="190"/>
      <c r="J20" s="190"/>
      <c r="K20" s="190"/>
      <c r="L20" s="190"/>
      <c r="M20" s="191"/>
      <c r="N20" s="318">
        <f t="shared" si="1"/>
        <v>100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</row>
    <row r="21" spans="1:33" s="57" customFormat="1" ht="12.75" customHeight="1">
      <c r="A21" s="483"/>
      <c r="B21" s="343">
        <v>75045</v>
      </c>
      <c r="C21" s="87" t="s">
        <v>75</v>
      </c>
      <c r="D21" s="190">
        <v>18806</v>
      </c>
      <c r="E21" s="190">
        <v>18805.66</v>
      </c>
      <c r="F21" s="190">
        <f>E21</f>
        <v>18805.66</v>
      </c>
      <c r="G21" s="192">
        <f>14090+51.96+483.06</f>
        <v>14625.019999999999</v>
      </c>
      <c r="H21" s="190">
        <f>F21-G21-J21</f>
        <v>4180.6400000000012</v>
      </c>
      <c r="I21" s="190"/>
      <c r="J21" s="190">
        <v>0</v>
      </c>
      <c r="K21" s="190"/>
      <c r="L21" s="190"/>
      <c r="M21" s="191"/>
      <c r="N21" s="318">
        <f t="shared" si="1"/>
        <v>99.998192066361796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</row>
    <row r="22" spans="1:33" s="48" customFormat="1" ht="23.25" customHeight="1">
      <c r="A22" s="338">
        <v>754</v>
      </c>
      <c r="B22" s="338"/>
      <c r="C22" s="345" t="s">
        <v>30</v>
      </c>
      <c r="D22" s="188">
        <f>D23</f>
        <v>3130943</v>
      </c>
      <c r="E22" s="188">
        <f t="shared" ref="E22:M22" si="5">E23</f>
        <v>3130933.21</v>
      </c>
      <c r="F22" s="188">
        <f t="shared" si="5"/>
        <v>3130933.21</v>
      </c>
      <c r="G22" s="188">
        <f t="shared" si="5"/>
        <v>2450204.3799999994</v>
      </c>
      <c r="H22" s="188">
        <f t="shared" si="5"/>
        <v>508833.60000000056</v>
      </c>
      <c r="I22" s="188">
        <f t="shared" si="5"/>
        <v>0</v>
      </c>
      <c r="J22" s="188">
        <f t="shared" si="5"/>
        <v>171895.23</v>
      </c>
      <c r="K22" s="188">
        <f t="shared" si="5"/>
        <v>0</v>
      </c>
      <c r="L22" s="188">
        <f t="shared" si="5"/>
        <v>0</v>
      </c>
      <c r="M22" s="188">
        <f t="shared" si="5"/>
        <v>0</v>
      </c>
      <c r="N22" s="193">
        <f t="shared" si="1"/>
        <v>99.99968731465249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3" s="57" customFormat="1" ht="12" customHeight="1">
      <c r="A23" s="275"/>
      <c r="B23" s="343">
        <v>75411</v>
      </c>
      <c r="C23" s="87" t="s">
        <v>106</v>
      </c>
      <c r="D23" s="190">
        <v>3130943</v>
      </c>
      <c r="E23" s="190">
        <v>3130933.21</v>
      </c>
      <c r="F23" s="190">
        <f>E23-M23</f>
        <v>3130933.21</v>
      </c>
      <c r="G23" s="190">
        <f>67670+5524.7+1913102+289963.56+150901.25+12763.82+1963.05+8316</f>
        <v>2450204.3799999994</v>
      </c>
      <c r="H23" s="190">
        <f>F23-G23-J23</f>
        <v>508833.60000000056</v>
      </c>
      <c r="I23" s="190"/>
      <c r="J23" s="190">
        <v>171895.23</v>
      </c>
      <c r="K23" s="190"/>
      <c r="L23" s="190"/>
      <c r="M23" s="191">
        <v>0</v>
      </c>
      <c r="N23" s="318">
        <f t="shared" si="1"/>
        <v>99.99968731465249</v>
      </c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</row>
    <row r="24" spans="1:33" s="48" customFormat="1" ht="13.5" customHeight="1">
      <c r="A24" s="338">
        <v>851</v>
      </c>
      <c r="B24" s="338"/>
      <c r="C24" s="346" t="s">
        <v>32</v>
      </c>
      <c r="D24" s="188">
        <f>D25</f>
        <v>2421083.6800000002</v>
      </c>
      <c r="E24" s="188">
        <f t="shared" ref="E24:M24" si="6">E25</f>
        <v>2420870.12</v>
      </c>
      <c r="F24" s="188">
        <f t="shared" si="6"/>
        <v>2420870.12</v>
      </c>
      <c r="G24" s="188">
        <f t="shared" si="6"/>
        <v>0</v>
      </c>
      <c r="H24" s="188">
        <f t="shared" si="6"/>
        <v>2420870.12</v>
      </c>
      <c r="I24" s="188">
        <f t="shared" si="6"/>
        <v>0</v>
      </c>
      <c r="J24" s="188">
        <f t="shared" si="6"/>
        <v>0</v>
      </c>
      <c r="K24" s="188">
        <f t="shared" si="6"/>
        <v>0</v>
      </c>
      <c r="L24" s="188">
        <f t="shared" si="6"/>
        <v>0</v>
      </c>
      <c r="M24" s="188">
        <f t="shared" si="6"/>
        <v>0</v>
      </c>
      <c r="N24" s="193">
        <f t="shared" si="1"/>
        <v>99.991179156599813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 s="57" customFormat="1" ht="12">
      <c r="A25" s="275"/>
      <c r="B25" s="343">
        <v>85156</v>
      </c>
      <c r="C25" s="91" t="s">
        <v>85</v>
      </c>
      <c r="D25" s="190">
        <v>2421083.6800000002</v>
      </c>
      <c r="E25" s="190">
        <v>2420870.12</v>
      </c>
      <c r="F25" s="190">
        <f>E25</f>
        <v>2420870.12</v>
      </c>
      <c r="G25" s="190"/>
      <c r="H25" s="190">
        <f>F25</f>
        <v>2420870.12</v>
      </c>
      <c r="I25" s="190"/>
      <c r="J25" s="190"/>
      <c r="K25" s="190"/>
      <c r="L25" s="190"/>
      <c r="M25" s="191"/>
      <c r="N25" s="318">
        <f t="shared" si="1"/>
        <v>99.991179156599813</v>
      </c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</row>
    <row r="26" spans="1:33" s="48" customFormat="1" ht="12">
      <c r="A26" s="338">
        <v>852</v>
      </c>
      <c r="B26" s="338"/>
      <c r="C26" s="345" t="s">
        <v>33</v>
      </c>
      <c r="D26" s="188">
        <f>SUM(D27:D28)</f>
        <v>786602.19</v>
      </c>
      <c r="E26" s="188">
        <f t="shared" ref="E26:M26" si="7">SUM(E27:E28)</f>
        <v>786582.03</v>
      </c>
      <c r="F26" s="188">
        <f t="shared" si="7"/>
        <v>786582.03</v>
      </c>
      <c r="G26" s="188">
        <f t="shared" si="7"/>
        <v>597717.41</v>
      </c>
      <c r="H26" s="188">
        <f t="shared" si="7"/>
        <v>187626.88999999996</v>
      </c>
      <c r="I26" s="188">
        <f t="shared" si="7"/>
        <v>0</v>
      </c>
      <c r="J26" s="188">
        <f t="shared" si="7"/>
        <v>1237.73</v>
      </c>
      <c r="K26" s="188">
        <f t="shared" si="7"/>
        <v>0</v>
      </c>
      <c r="L26" s="188">
        <f t="shared" si="7"/>
        <v>0</v>
      </c>
      <c r="M26" s="188">
        <f t="shared" si="7"/>
        <v>0</v>
      </c>
      <c r="N26" s="193">
        <f t="shared" si="1"/>
        <v>99.997437078073744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</row>
    <row r="27" spans="1:33" s="57" customFormat="1" ht="12">
      <c r="A27" s="481"/>
      <c r="B27" s="343">
        <v>85203</v>
      </c>
      <c r="C27" s="87" t="s">
        <v>88</v>
      </c>
      <c r="D27" s="190">
        <v>467102.19</v>
      </c>
      <c r="E27" s="190">
        <v>467093.79</v>
      </c>
      <c r="F27" s="192">
        <f>E27</f>
        <v>467093.79</v>
      </c>
      <c r="G27" s="192">
        <f>296172.64+17391.41+46563.33+3911.15+10640</f>
        <v>374678.53</v>
      </c>
      <c r="H27" s="190">
        <f>F27-G27-J27</f>
        <v>91777.529999999955</v>
      </c>
      <c r="I27" s="190"/>
      <c r="J27" s="190">
        <v>637.73</v>
      </c>
      <c r="K27" s="190"/>
      <c r="L27" s="190"/>
      <c r="M27" s="191">
        <v>0</v>
      </c>
      <c r="N27" s="318">
        <f t="shared" si="1"/>
        <v>99.9982016783094</v>
      </c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</row>
    <row r="28" spans="1:33" s="57" customFormat="1" ht="22.5">
      <c r="A28" s="483"/>
      <c r="B28" s="343">
        <v>85205</v>
      </c>
      <c r="C28" s="130" t="s">
        <v>209</v>
      </c>
      <c r="D28" s="190">
        <v>319500</v>
      </c>
      <c r="E28" s="190">
        <v>319488.24</v>
      </c>
      <c r="F28" s="190">
        <f>E28</f>
        <v>319488.24</v>
      </c>
      <c r="G28" s="190">
        <f>145909+11827.12+24393.01+3816.61+37093.14</f>
        <v>223038.88</v>
      </c>
      <c r="H28" s="190">
        <f>F28-G28-J28</f>
        <v>95849.359999999986</v>
      </c>
      <c r="I28" s="190"/>
      <c r="J28" s="190">
        <v>600</v>
      </c>
      <c r="K28" s="190"/>
      <c r="L28" s="190"/>
      <c r="M28" s="191"/>
      <c r="N28" s="318">
        <f t="shared" si="1"/>
        <v>99.996319248826296</v>
      </c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</row>
    <row r="29" spans="1:33" s="48" customFormat="1" ht="12" customHeight="1">
      <c r="A29" s="338">
        <v>853</v>
      </c>
      <c r="B29" s="338"/>
      <c r="C29" s="345" t="s">
        <v>113</v>
      </c>
      <c r="D29" s="188">
        <f>D30</f>
        <v>125760</v>
      </c>
      <c r="E29" s="188">
        <f t="shared" ref="E29:M29" si="8">E30</f>
        <v>125758.74</v>
      </c>
      <c r="F29" s="188">
        <f t="shared" si="8"/>
        <v>125758.74</v>
      </c>
      <c r="G29" s="188">
        <f t="shared" si="8"/>
        <v>73325.900000000009</v>
      </c>
      <c r="H29" s="188">
        <f t="shared" si="8"/>
        <v>52432.84</v>
      </c>
      <c r="I29" s="188">
        <f t="shared" si="8"/>
        <v>0</v>
      </c>
      <c r="J29" s="188">
        <f t="shared" si="8"/>
        <v>0</v>
      </c>
      <c r="K29" s="188">
        <f t="shared" si="8"/>
        <v>0</v>
      </c>
      <c r="L29" s="188">
        <f t="shared" si="8"/>
        <v>0</v>
      </c>
      <c r="M29" s="188">
        <f t="shared" si="8"/>
        <v>0</v>
      </c>
      <c r="N29" s="193">
        <f t="shared" si="1"/>
        <v>99.998998091603056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3" s="57" customFormat="1" ht="12" customHeight="1">
      <c r="A30" s="135"/>
      <c r="B30" s="135">
        <v>85321</v>
      </c>
      <c r="C30" s="87" t="s">
        <v>114</v>
      </c>
      <c r="D30" s="190">
        <v>125760</v>
      </c>
      <c r="E30" s="190">
        <v>125758.74</v>
      </c>
      <c r="F30" s="190">
        <f>E30</f>
        <v>125758.74</v>
      </c>
      <c r="G30" s="190">
        <f>40480+2957.66+7251.76+1145.48+21491</f>
        <v>73325.900000000009</v>
      </c>
      <c r="H30" s="190">
        <f>F30-G30</f>
        <v>52432.84</v>
      </c>
      <c r="I30" s="190"/>
      <c r="J30" s="190"/>
      <c r="K30" s="190"/>
      <c r="L30" s="190"/>
      <c r="M30" s="191"/>
      <c r="N30" s="318">
        <f t="shared" si="1"/>
        <v>99.998998091603056</v>
      </c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1:33" s="48" customFormat="1" ht="12">
      <c r="A31" s="579" t="s">
        <v>24</v>
      </c>
      <c r="B31" s="580"/>
      <c r="C31" s="581"/>
      <c r="D31" s="189">
        <f>D11+D13+D15+D19+D22+D24+D26+D29</f>
        <v>7105394.8699999992</v>
      </c>
      <c r="E31" s="189">
        <f t="shared" ref="E31:M31" si="9">E11+E13+E15+E19+E22+E24+E26+E29</f>
        <v>7104898.830000001</v>
      </c>
      <c r="F31" s="189">
        <f t="shared" si="9"/>
        <v>7104898.830000001</v>
      </c>
      <c r="G31" s="189">
        <f t="shared" si="9"/>
        <v>3487747.5799999996</v>
      </c>
      <c r="H31" s="189">
        <f t="shared" si="9"/>
        <v>3444018.2900000005</v>
      </c>
      <c r="I31" s="189">
        <f t="shared" si="9"/>
        <v>0</v>
      </c>
      <c r="J31" s="189">
        <f t="shared" si="9"/>
        <v>173132.96000000002</v>
      </c>
      <c r="K31" s="189">
        <f t="shared" si="9"/>
        <v>0</v>
      </c>
      <c r="L31" s="189">
        <f t="shared" si="9"/>
        <v>0</v>
      </c>
      <c r="M31" s="189">
        <f t="shared" si="9"/>
        <v>0</v>
      </c>
      <c r="N31" s="193">
        <f t="shared" si="1"/>
        <v>99.993018825708162</v>
      </c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3" spans="3:4">
      <c r="C33" t="s">
        <v>378</v>
      </c>
      <c r="D33" t="s">
        <v>379</v>
      </c>
    </row>
  </sheetData>
  <mergeCells count="18">
    <mergeCell ref="D1:N1"/>
    <mergeCell ref="A2:N2"/>
    <mergeCell ref="A3:N3"/>
    <mergeCell ref="A4:N4"/>
    <mergeCell ref="A5:N5"/>
    <mergeCell ref="A31:C31"/>
    <mergeCell ref="N7:N9"/>
    <mergeCell ref="M8:M9"/>
    <mergeCell ref="F8:F9"/>
    <mergeCell ref="D7:D9"/>
    <mergeCell ref="F7:M7"/>
    <mergeCell ref="A7:A9"/>
    <mergeCell ref="B7:B9"/>
    <mergeCell ref="C7:C9"/>
    <mergeCell ref="E7:E9"/>
    <mergeCell ref="A16:A18"/>
    <mergeCell ref="A20:A21"/>
    <mergeCell ref="A27:A28"/>
  </mergeCells>
  <phoneticPr fontId="0" type="noConversion"/>
  <pageMargins left="0.78740157480314965" right="0.19685039370078741" top="0.74803149606299213" bottom="0.78740157480314965" header="0.27559055118110237" footer="0.51181102362204722"/>
  <pageSetup paperSize="9" orientation="landscape" r:id="rId1"/>
  <headerFooter alignWithMargins="0">
    <oddFooter>&amp;C&amp;"Times New (W1),Normalny"Tabela Nr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N14"/>
  <sheetViews>
    <sheetView view="pageLayout" workbookViewId="0">
      <selection activeCell="G12" sqref="G12"/>
    </sheetView>
  </sheetViews>
  <sheetFormatPr defaultRowHeight="12.75"/>
  <cols>
    <col min="1" max="1" width="4.85546875" customWidth="1"/>
    <col min="2" max="2" width="7" customWidth="1"/>
    <col min="3" max="3" width="24.140625" customWidth="1"/>
    <col min="4" max="4" width="8.85546875" customWidth="1"/>
    <col min="5" max="5" width="9" customWidth="1"/>
    <col min="6" max="6" width="8.85546875" customWidth="1"/>
    <col min="9" max="9" width="7.7109375" customWidth="1"/>
    <col min="12" max="12" width="8" customWidth="1"/>
    <col min="13" max="13" width="11" customWidth="1"/>
    <col min="14" max="14" width="7.140625" customWidth="1"/>
  </cols>
  <sheetData>
    <row r="1" spans="1:14">
      <c r="M1" s="557" t="s">
        <v>385</v>
      </c>
      <c r="N1" s="557"/>
    </row>
    <row r="2" spans="1:14">
      <c r="A2" s="496" t="s">
        <v>6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</row>
    <row r="3" spans="1:14">
      <c r="A3" s="496" t="s">
        <v>3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4">
      <c r="A4" s="586" t="s">
        <v>381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</row>
    <row r="5" spans="1:14">
      <c r="A5" s="496" t="s">
        <v>353</v>
      </c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</row>
    <row r="6" spans="1:1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 t="s">
        <v>161</v>
      </c>
    </row>
    <row r="7" spans="1:14">
      <c r="A7" s="497" t="s">
        <v>0</v>
      </c>
      <c r="B7" s="497" t="s">
        <v>7</v>
      </c>
      <c r="C7" s="497" t="s">
        <v>1</v>
      </c>
      <c r="D7" s="497" t="s">
        <v>293</v>
      </c>
      <c r="E7" s="497" t="s">
        <v>382</v>
      </c>
      <c r="F7" s="584" t="s">
        <v>147</v>
      </c>
      <c r="G7" s="585"/>
      <c r="H7" s="585"/>
      <c r="I7" s="585"/>
      <c r="J7" s="585"/>
      <c r="K7" s="585"/>
      <c r="L7" s="585"/>
      <c r="M7" s="585"/>
      <c r="N7" s="497" t="s">
        <v>122</v>
      </c>
    </row>
    <row r="8" spans="1:14">
      <c r="A8" s="498"/>
      <c r="B8" s="498"/>
      <c r="C8" s="498"/>
      <c r="D8" s="498"/>
      <c r="E8" s="498"/>
      <c r="F8" s="497" t="s">
        <v>8</v>
      </c>
      <c r="G8" s="58" t="s">
        <v>9</v>
      </c>
      <c r="H8" s="58"/>
      <c r="I8" s="58"/>
      <c r="J8" s="58"/>
      <c r="K8" s="58"/>
      <c r="L8" s="59"/>
      <c r="M8" s="582" t="s">
        <v>146</v>
      </c>
      <c r="N8" s="498"/>
    </row>
    <row r="9" spans="1:14" ht="90.75">
      <c r="A9" s="499"/>
      <c r="B9" s="499"/>
      <c r="C9" s="499"/>
      <c r="D9" s="499"/>
      <c r="E9" s="499"/>
      <c r="F9" s="499"/>
      <c r="G9" s="93" t="s">
        <v>210</v>
      </c>
      <c r="H9" s="93" t="s">
        <v>214</v>
      </c>
      <c r="I9" s="93" t="s">
        <v>211</v>
      </c>
      <c r="J9" s="93" t="s">
        <v>212</v>
      </c>
      <c r="K9" s="173" t="s">
        <v>213</v>
      </c>
      <c r="L9" s="93" t="s">
        <v>10</v>
      </c>
      <c r="M9" s="583"/>
      <c r="N9" s="499"/>
    </row>
    <row r="10" spans="1:14">
      <c r="A10" s="85">
        <v>1</v>
      </c>
      <c r="B10" s="85">
        <v>2</v>
      </c>
      <c r="C10" s="85">
        <v>3</v>
      </c>
      <c r="D10" s="85">
        <v>4</v>
      </c>
      <c r="E10" s="85">
        <v>5</v>
      </c>
      <c r="F10" s="85">
        <v>6</v>
      </c>
      <c r="G10" s="85">
        <v>7</v>
      </c>
      <c r="H10" s="85">
        <v>8</v>
      </c>
      <c r="I10" s="85">
        <v>9</v>
      </c>
      <c r="J10" s="85">
        <v>10</v>
      </c>
      <c r="K10" s="85">
        <v>11</v>
      </c>
      <c r="L10" s="85">
        <v>12</v>
      </c>
      <c r="M10" s="85">
        <v>13</v>
      </c>
      <c r="N10" s="85">
        <v>14</v>
      </c>
    </row>
    <row r="11" spans="1:14">
      <c r="A11" s="337">
        <v>852</v>
      </c>
      <c r="B11" s="338"/>
      <c r="C11" s="339" t="s">
        <v>33</v>
      </c>
      <c r="D11" s="187">
        <f>D12+D13</f>
        <v>84431</v>
      </c>
      <c r="E11" s="187">
        <f t="shared" ref="E11:M11" si="0">E12+E13</f>
        <v>99858.9</v>
      </c>
      <c r="F11" s="187">
        <f t="shared" si="0"/>
        <v>99858.9</v>
      </c>
      <c r="G11" s="187">
        <f t="shared" si="0"/>
        <v>26543.239999999998</v>
      </c>
      <c r="H11" s="187">
        <f t="shared" si="0"/>
        <v>73315.66</v>
      </c>
      <c r="I11" s="187">
        <f t="shared" si="0"/>
        <v>0</v>
      </c>
      <c r="J11" s="187">
        <f t="shared" si="0"/>
        <v>0</v>
      </c>
      <c r="K11" s="187">
        <f t="shared" si="0"/>
        <v>0</v>
      </c>
      <c r="L11" s="187">
        <f t="shared" si="0"/>
        <v>0</v>
      </c>
      <c r="M11" s="187">
        <f t="shared" si="0"/>
        <v>0</v>
      </c>
      <c r="N11" s="193">
        <f>E11/D11*100</f>
        <v>118.27279079958781</v>
      </c>
    </row>
    <row r="12" spans="1:14" ht="33.75">
      <c r="A12" s="481" t="s">
        <v>11</v>
      </c>
      <c r="B12" s="86">
        <v>85205</v>
      </c>
      <c r="C12" s="87" t="s">
        <v>209</v>
      </c>
      <c r="D12" s="190">
        <f>54431</f>
        <v>54431</v>
      </c>
      <c r="E12" s="190">
        <f>54431+15427.9</f>
        <v>69858.899999999994</v>
      </c>
      <c r="F12" s="190">
        <f>E12</f>
        <v>69858.899999999994</v>
      </c>
      <c r="G12" s="190">
        <f>1304.24+209+8530</f>
        <v>10043.24</v>
      </c>
      <c r="H12" s="190">
        <f>F12-G12</f>
        <v>59815.659999999996</v>
      </c>
      <c r="I12" s="190"/>
      <c r="J12" s="190"/>
      <c r="K12" s="190">
        <v>0</v>
      </c>
      <c r="L12" s="190">
        <v>0</v>
      </c>
      <c r="M12" s="191">
        <v>0</v>
      </c>
      <c r="N12" s="318">
        <f t="shared" ref="N12:N14" si="1">E12/D12*100</f>
        <v>128.34395840605538</v>
      </c>
    </row>
    <row r="13" spans="1:14">
      <c r="A13" s="483"/>
      <c r="B13" s="135">
        <v>85295</v>
      </c>
      <c r="C13" s="340" t="s">
        <v>383</v>
      </c>
      <c r="D13" s="190">
        <v>30000</v>
      </c>
      <c r="E13" s="190">
        <v>30000</v>
      </c>
      <c r="F13" s="190">
        <f>E13</f>
        <v>30000</v>
      </c>
      <c r="G13" s="190">
        <v>16500</v>
      </c>
      <c r="H13" s="190">
        <f>F13-G13</f>
        <v>13500</v>
      </c>
      <c r="I13" s="190"/>
      <c r="J13" s="190"/>
      <c r="K13" s="190"/>
      <c r="L13" s="190"/>
      <c r="M13" s="191"/>
      <c r="N13" s="318">
        <f t="shared" si="1"/>
        <v>100</v>
      </c>
    </row>
    <row r="14" spans="1:14">
      <c r="A14" s="587" t="s">
        <v>24</v>
      </c>
      <c r="B14" s="587"/>
      <c r="C14" s="587"/>
      <c r="D14" s="188">
        <f>D11</f>
        <v>84431</v>
      </c>
      <c r="E14" s="188">
        <f t="shared" ref="E14:M14" si="2">E11</f>
        <v>99858.9</v>
      </c>
      <c r="F14" s="188">
        <f t="shared" si="2"/>
        <v>99858.9</v>
      </c>
      <c r="G14" s="188">
        <f t="shared" si="2"/>
        <v>26543.239999999998</v>
      </c>
      <c r="H14" s="188">
        <f t="shared" si="2"/>
        <v>73315.66</v>
      </c>
      <c r="I14" s="188">
        <f t="shared" si="2"/>
        <v>0</v>
      </c>
      <c r="J14" s="188">
        <f t="shared" si="2"/>
        <v>0</v>
      </c>
      <c r="K14" s="188">
        <f t="shared" si="2"/>
        <v>0</v>
      </c>
      <c r="L14" s="188">
        <f t="shared" si="2"/>
        <v>0</v>
      </c>
      <c r="M14" s="188">
        <f t="shared" si="2"/>
        <v>0</v>
      </c>
      <c r="N14" s="193">
        <f t="shared" si="1"/>
        <v>118.27279079958781</v>
      </c>
    </row>
  </sheetData>
  <mergeCells count="16">
    <mergeCell ref="M1:N1"/>
    <mergeCell ref="A2:N2"/>
    <mergeCell ref="A3:N3"/>
    <mergeCell ref="A4:N4"/>
    <mergeCell ref="A5:N5"/>
    <mergeCell ref="N7:N9"/>
    <mergeCell ref="F8:F9"/>
    <mergeCell ref="M8:M9"/>
    <mergeCell ref="A14:C14"/>
    <mergeCell ref="A12:A13"/>
    <mergeCell ref="A7:A9"/>
    <mergeCell ref="B7:B9"/>
    <mergeCell ref="C7:C9"/>
    <mergeCell ref="D7:D9"/>
    <mergeCell ref="E7:E9"/>
    <mergeCell ref="F7:M7"/>
  </mergeCells>
  <pageMargins left="0.7" right="0.7" top="0.75" bottom="0.75" header="0.3" footer="0.3"/>
  <pageSetup paperSize="9" orientation="landscape" r:id="rId1"/>
  <headerFooter>
    <oddFooter>&amp;CTabela Nr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K23"/>
  <sheetViews>
    <sheetView view="pageLayout" workbookViewId="0">
      <selection activeCell="J38" sqref="J38"/>
    </sheetView>
  </sheetViews>
  <sheetFormatPr defaultRowHeight="12.75"/>
  <cols>
    <col min="1" max="1" width="6.5703125" customWidth="1"/>
    <col min="2" max="2" width="7" customWidth="1"/>
    <col min="3" max="3" width="25.42578125" customWidth="1"/>
    <col min="4" max="4" width="11.85546875" customWidth="1"/>
    <col min="5" max="5" width="11.5703125" customWidth="1"/>
    <col min="6" max="6" width="11.42578125" customWidth="1"/>
    <col min="7" max="7" width="9.28515625" bestFit="1" customWidth="1"/>
    <col min="8" max="8" width="10.28515625" customWidth="1"/>
    <col min="9" max="9" width="11.7109375" customWidth="1"/>
    <col min="10" max="10" width="10.28515625" customWidth="1"/>
    <col min="11" max="11" width="11.285156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589" t="s">
        <v>286</v>
      </c>
      <c r="K1" s="589"/>
    </row>
    <row r="2" spans="1:11">
      <c r="A2" s="42"/>
      <c r="B2" s="42"/>
      <c r="C2" s="42"/>
      <c r="D2" s="42"/>
      <c r="E2" s="42"/>
      <c r="F2" s="42"/>
      <c r="G2" s="42"/>
      <c r="H2" s="42"/>
      <c r="I2" s="42"/>
      <c r="J2" s="590"/>
      <c r="K2" s="590"/>
    </row>
    <row r="3" spans="1:11">
      <c r="A3" s="42"/>
      <c r="B3" s="42"/>
      <c r="C3" s="42"/>
      <c r="D3" s="42"/>
      <c r="E3" s="42"/>
      <c r="F3" s="42"/>
      <c r="G3" s="42"/>
      <c r="H3" s="42"/>
      <c r="I3" s="42"/>
      <c r="J3" s="590"/>
      <c r="K3" s="590"/>
    </row>
    <row r="4" spans="1:11">
      <c r="A4" s="42"/>
      <c r="B4" s="42"/>
      <c r="C4" s="42"/>
      <c r="D4" s="42"/>
      <c r="E4" s="42"/>
      <c r="F4" s="42"/>
      <c r="G4" s="42"/>
      <c r="H4" s="42"/>
      <c r="I4" s="42"/>
      <c r="J4" s="590"/>
      <c r="K4" s="590"/>
    </row>
    <row r="5" spans="1:11" ht="15.75">
      <c r="A5" s="591" t="s">
        <v>291</v>
      </c>
      <c r="B5" s="591"/>
      <c r="C5" s="591"/>
      <c r="D5" s="591"/>
      <c r="E5" s="591"/>
      <c r="F5" s="591"/>
      <c r="G5" s="591"/>
      <c r="H5" s="591"/>
      <c r="I5" s="591"/>
      <c r="J5" s="591"/>
      <c r="K5" s="591"/>
    </row>
    <row r="6" spans="1:11" ht="15.75">
      <c r="A6" s="588" t="s">
        <v>292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</row>
    <row r="7" spans="1:11" ht="15.75">
      <c r="A7" s="591" t="s">
        <v>380</v>
      </c>
      <c r="B7" s="591"/>
      <c r="C7" s="591"/>
      <c r="D7" s="591"/>
      <c r="E7" s="591"/>
      <c r="F7" s="591"/>
      <c r="G7" s="591"/>
      <c r="H7" s="591"/>
      <c r="I7" s="591"/>
      <c r="J7" s="591"/>
      <c r="K7" s="591"/>
    </row>
    <row r="8" spans="1:1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>
      <c r="A9" s="42"/>
      <c r="B9" s="42"/>
      <c r="C9" s="42"/>
      <c r="D9" s="42"/>
      <c r="E9" s="42"/>
      <c r="F9" s="42"/>
      <c r="G9" s="42"/>
      <c r="H9" s="42"/>
      <c r="I9" s="42"/>
      <c r="J9" s="42"/>
      <c r="K9" s="278" t="s">
        <v>161</v>
      </c>
    </row>
    <row r="10" spans="1:11" ht="12.75" customHeight="1">
      <c r="A10" s="497" t="s">
        <v>0</v>
      </c>
      <c r="B10" s="497" t="s">
        <v>7</v>
      </c>
      <c r="C10" s="497" t="s">
        <v>153</v>
      </c>
      <c r="D10" s="497" t="s">
        <v>293</v>
      </c>
      <c r="E10" s="497" t="s">
        <v>302</v>
      </c>
      <c r="F10" s="593" t="s">
        <v>294</v>
      </c>
      <c r="G10" s="594"/>
      <c r="H10" s="594"/>
      <c r="I10" s="594"/>
      <c r="J10" s="595"/>
      <c r="K10" s="497" t="s">
        <v>146</v>
      </c>
    </row>
    <row r="11" spans="1:11">
      <c r="A11" s="498"/>
      <c r="B11" s="498"/>
      <c r="C11" s="498"/>
      <c r="D11" s="498"/>
      <c r="E11" s="498"/>
      <c r="F11" s="596" t="s">
        <v>8</v>
      </c>
      <c r="G11" s="546" t="s">
        <v>295</v>
      </c>
      <c r="H11" s="597"/>
      <c r="I11" s="597"/>
      <c r="J11" s="598"/>
      <c r="K11" s="498"/>
    </row>
    <row r="12" spans="1:11">
      <c r="A12" s="498"/>
      <c r="B12" s="498"/>
      <c r="C12" s="498"/>
      <c r="D12" s="498"/>
      <c r="E12" s="498"/>
      <c r="F12" s="596"/>
      <c r="G12" s="599" t="s">
        <v>296</v>
      </c>
      <c r="H12" s="600" t="s">
        <v>297</v>
      </c>
      <c r="I12" s="603" t="s">
        <v>298</v>
      </c>
      <c r="J12" s="603" t="s">
        <v>299</v>
      </c>
      <c r="K12" s="498"/>
    </row>
    <row r="13" spans="1:11">
      <c r="A13" s="498"/>
      <c r="B13" s="498"/>
      <c r="C13" s="498"/>
      <c r="D13" s="498"/>
      <c r="E13" s="498"/>
      <c r="F13" s="596"/>
      <c r="G13" s="599"/>
      <c r="H13" s="601"/>
      <c r="I13" s="603"/>
      <c r="J13" s="603"/>
      <c r="K13" s="498"/>
    </row>
    <row r="14" spans="1:11">
      <c r="A14" s="499"/>
      <c r="B14" s="499"/>
      <c r="C14" s="499"/>
      <c r="D14" s="499"/>
      <c r="E14" s="499"/>
      <c r="F14" s="596"/>
      <c r="G14" s="599"/>
      <c r="H14" s="602"/>
      <c r="I14" s="603"/>
      <c r="J14" s="603"/>
      <c r="K14" s="499"/>
    </row>
    <row r="15" spans="1:11">
      <c r="A15" s="277">
        <v>1</v>
      </c>
      <c r="B15" s="281">
        <v>2</v>
      </c>
      <c r="C15" s="277">
        <v>3</v>
      </c>
      <c r="D15" s="281">
        <v>4</v>
      </c>
      <c r="E15" s="277">
        <v>5</v>
      </c>
      <c r="F15" s="281">
        <v>6</v>
      </c>
      <c r="G15" s="277">
        <v>7</v>
      </c>
      <c r="H15" s="281">
        <v>8</v>
      </c>
      <c r="I15" s="277">
        <v>9</v>
      </c>
      <c r="J15" s="281">
        <v>10</v>
      </c>
      <c r="K15" s="277">
        <v>11</v>
      </c>
    </row>
    <row r="16" spans="1:11" ht="24">
      <c r="A16" s="282">
        <v>754</v>
      </c>
      <c r="B16" s="283"/>
      <c r="C16" s="284" t="s">
        <v>300</v>
      </c>
      <c r="D16" s="291">
        <f>D17</f>
        <v>6395.7</v>
      </c>
      <c r="E16" s="292">
        <f>E17</f>
        <v>6395.7</v>
      </c>
      <c r="F16" s="292">
        <f>F17</f>
        <v>6395.7</v>
      </c>
      <c r="G16" s="292"/>
      <c r="H16" s="292">
        <f>H17</f>
        <v>6395.7</v>
      </c>
      <c r="I16" s="292"/>
      <c r="J16" s="292"/>
      <c r="K16" s="292"/>
    </row>
    <row r="17" spans="1:11">
      <c r="A17" s="280"/>
      <c r="B17" s="279">
        <v>75421</v>
      </c>
      <c r="C17" s="285" t="s">
        <v>301</v>
      </c>
      <c r="D17" s="293">
        <v>6395.7</v>
      </c>
      <c r="E17" s="294">
        <f>D17</f>
        <v>6395.7</v>
      </c>
      <c r="F17" s="294">
        <f>E17</f>
        <v>6395.7</v>
      </c>
      <c r="G17" s="294"/>
      <c r="H17" s="294">
        <f>F17</f>
        <v>6395.7</v>
      </c>
      <c r="I17" s="294"/>
      <c r="J17" s="294"/>
      <c r="K17" s="294"/>
    </row>
    <row r="18" spans="1:11">
      <c r="A18" s="282">
        <v>852</v>
      </c>
      <c r="B18" s="282" t="s">
        <v>11</v>
      </c>
      <c r="C18" s="286" t="s">
        <v>33</v>
      </c>
      <c r="D18" s="295">
        <f>D19+D20</f>
        <v>2731796.48</v>
      </c>
      <c r="E18" s="296">
        <f>SUM(E19:E20)</f>
        <v>2887816.88</v>
      </c>
      <c r="F18" s="296">
        <f>SUM(F19:F20)</f>
        <v>2887816.88</v>
      </c>
      <c r="G18" s="296">
        <f>SUM(G19:G19)</f>
        <v>0</v>
      </c>
      <c r="H18" s="296">
        <f>H19</f>
        <v>65744.509999999995</v>
      </c>
      <c r="I18" s="296">
        <f>I19+I20</f>
        <v>2694525.3200000003</v>
      </c>
      <c r="J18" s="296">
        <f>J19+J20</f>
        <v>127547.05</v>
      </c>
      <c r="K18" s="296"/>
    </row>
    <row r="19" spans="1:11" ht="24">
      <c r="A19" s="604"/>
      <c r="B19" s="50">
        <v>85201</v>
      </c>
      <c r="C19" s="287" t="s">
        <v>86</v>
      </c>
      <c r="D19" s="391">
        <v>2604249.4300000002</v>
      </c>
      <c r="E19" s="297">
        <f>F19</f>
        <v>2760269.83</v>
      </c>
      <c r="F19" s="294">
        <f>I19+H19</f>
        <v>2760269.83</v>
      </c>
      <c r="G19" s="297"/>
      <c r="H19" s="297">
        <v>65744.509999999995</v>
      </c>
      <c r="I19" s="294">
        <f>1773984.85+920540.47</f>
        <v>2694525.3200000003</v>
      </c>
      <c r="J19" s="294"/>
      <c r="K19" s="294"/>
    </row>
    <row r="20" spans="1:11">
      <c r="A20" s="604"/>
      <c r="B20" s="50">
        <v>85204</v>
      </c>
      <c r="C20" s="288" t="s">
        <v>111</v>
      </c>
      <c r="D20" s="293">
        <v>127547.05</v>
      </c>
      <c r="E20" s="297">
        <f>D20</f>
        <v>127547.05</v>
      </c>
      <c r="F20" s="294">
        <f>E20</f>
        <v>127547.05</v>
      </c>
      <c r="G20" s="297"/>
      <c r="H20" s="297"/>
      <c r="I20" s="294"/>
      <c r="J20" s="294">
        <f>E20</f>
        <v>127547.05</v>
      </c>
      <c r="K20" s="294"/>
    </row>
    <row r="21" spans="1:11">
      <c r="A21" s="592" t="s">
        <v>24</v>
      </c>
      <c r="B21" s="592"/>
      <c r="C21" s="274"/>
      <c r="D21" s="298">
        <f>D18+D16</f>
        <v>2738192.18</v>
      </c>
      <c r="E21" s="299">
        <f t="shared" ref="E21:K21" si="0">E16+E18</f>
        <v>2894212.58</v>
      </c>
      <c r="F21" s="299">
        <f t="shared" si="0"/>
        <v>2894212.58</v>
      </c>
      <c r="G21" s="299">
        <f t="shared" si="0"/>
        <v>0</v>
      </c>
      <c r="H21" s="299">
        <f t="shared" si="0"/>
        <v>72140.209999999992</v>
      </c>
      <c r="I21" s="299">
        <f t="shared" si="0"/>
        <v>2694525.3200000003</v>
      </c>
      <c r="J21" s="299">
        <f t="shared" si="0"/>
        <v>127547.05</v>
      </c>
      <c r="K21" s="300">
        <f t="shared" si="0"/>
        <v>0</v>
      </c>
    </row>
    <row r="22" spans="1:11">
      <c r="A22" s="289"/>
      <c r="B22" s="289"/>
      <c r="C22" s="289"/>
      <c r="D22" s="290"/>
      <c r="E22" s="289"/>
      <c r="F22" s="289"/>
      <c r="G22" s="289"/>
      <c r="H22" s="289"/>
      <c r="I22" s="289"/>
      <c r="J22" s="289"/>
      <c r="K22" s="289"/>
    </row>
    <row r="23" spans="1:11">
      <c r="A23" s="289"/>
      <c r="B23" s="289"/>
      <c r="C23" s="289"/>
      <c r="D23" s="289"/>
      <c r="E23" s="289"/>
      <c r="F23" s="289"/>
      <c r="G23" s="289"/>
      <c r="H23" s="289"/>
      <c r="I23" s="289"/>
      <c r="J23" s="289"/>
      <c r="K23" s="289"/>
    </row>
  </sheetData>
  <mergeCells count="22">
    <mergeCell ref="A21:B21"/>
    <mergeCell ref="A7:K7"/>
    <mergeCell ref="A10:A14"/>
    <mergeCell ref="B10:B14"/>
    <mergeCell ref="C10:C14"/>
    <mergeCell ref="D10:D14"/>
    <mergeCell ref="E10:E14"/>
    <mergeCell ref="F10:J10"/>
    <mergeCell ref="K10:K14"/>
    <mergeCell ref="F11:F14"/>
    <mergeCell ref="G11:J11"/>
    <mergeCell ref="G12:G14"/>
    <mergeCell ref="H12:H14"/>
    <mergeCell ref="I12:I14"/>
    <mergeCell ref="J12:J14"/>
    <mergeCell ref="A19:A20"/>
    <mergeCell ref="A6:K6"/>
    <mergeCell ref="J1:K1"/>
    <mergeCell ref="J2:K2"/>
    <mergeCell ref="J3:K3"/>
    <mergeCell ref="J4:K4"/>
    <mergeCell ref="A5:K5"/>
  </mergeCells>
  <pageMargins left="0.7" right="0.7" top="0.75" bottom="0.75" header="0.3" footer="0.3"/>
  <pageSetup paperSize="9" orientation="landscape" r:id="rId1"/>
  <headerFooter>
    <oddFooter>&amp;CTabela Nr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655"/>
  <sheetViews>
    <sheetView view="pageLayout" topLeftCell="A399" workbookViewId="0">
      <selection activeCell="I560" sqref="I560"/>
    </sheetView>
  </sheetViews>
  <sheetFormatPr defaultRowHeight="12.75"/>
  <cols>
    <col min="1" max="1" width="4.28515625" customWidth="1"/>
    <col min="2" max="2" width="5.5703125" customWidth="1"/>
    <col min="3" max="3" width="4.28515625" customWidth="1"/>
    <col min="4" max="4" width="3" customWidth="1"/>
    <col min="5" max="5" width="42" customWidth="1"/>
    <col min="6" max="6" width="12.7109375" customWidth="1"/>
    <col min="7" max="7" width="11.85546875" customWidth="1"/>
    <col min="8" max="8" width="5.5703125" customWidth="1"/>
  </cols>
  <sheetData>
    <row r="1" spans="1:8">
      <c r="A1" s="429"/>
      <c r="B1" s="429"/>
      <c r="C1" s="430"/>
      <c r="D1" s="430"/>
      <c r="E1" s="431"/>
      <c r="F1" s="432"/>
      <c r="G1" s="606" t="s">
        <v>393</v>
      </c>
      <c r="H1" s="606"/>
    </row>
    <row r="2" spans="1:8" ht="15.75">
      <c r="A2" s="607" t="s">
        <v>394</v>
      </c>
      <c r="B2" s="607"/>
      <c r="C2" s="607"/>
      <c r="D2" s="607"/>
      <c r="E2" s="607"/>
      <c r="F2" s="607"/>
      <c r="G2" s="607"/>
      <c r="H2" s="607"/>
    </row>
    <row r="3" spans="1:8" ht="15.75">
      <c r="A3" s="607" t="s">
        <v>3</v>
      </c>
      <c r="B3" s="607"/>
      <c r="C3" s="607"/>
      <c r="D3" s="607"/>
      <c r="E3" s="607"/>
      <c r="F3" s="607"/>
      <c r="G3" s="607"/>
      <c r="H3" s="607"/>
    </row>
    <row r="4" spans="1:8" ht="15.75">
      <c r="A4" s="607" t="s">
        <v>395</v>
      </c>
      <c r="B4" s="607"/>
      <c r="C4" s="607"/>
      <c r="D4" s="607"/>
      <c r="E4" s="607"/>
      <c r="F4" s="607"/>
      <c r="G4" s="607"/>
      <c r="H4" s="607"/>
    </row>
    <row r="5" spans="1:8">
      <c r="A5" s="429"/>
      <c r="B5" s="429"/>
      <c r="C5" s="430"/>
      <c r="D5" s="430"/>
      <c r="E5" s="431"/>
      <c r="F5" s="432"/>
      <c r="G5" s="432"/>
      <c r="H5" s="433"/>
    </row>
    <row r="6" spans="1:8">
      <c r="A6" s="434" t="s">
        <v>0</v>
      </c>
      <c r="B6" s="434" t="s">
        <v>7</v>
      </c>
      <c r="C6" s="605" t="s">
        <v>396</v>
      </c>
      <c r="D6" s="605"/>
      <c r="E6" s="435" t="s">
        <v>170</v>
      </c>
      <c r="F6" s="436" t="s">
        <v>134</v>
      </c>
      <c r="G6" s="436" t="s">
        <v>397</v>
      </c>
      <c r="H6" s="437" t="s">
        <v>135</v>
      </c>
    </row>
    <row r="7" spans="1:8">
      <c r="A7" s="438">
        <v>1</v>
      </c>
      <c r="B7" s="438">
        <v>2</v>
      </c>
      <c r="C7" s="438">
        <v>3</v>
      </c>
      <c r="D7" s="438">
        <v>4</v>
      </c>
      <c r="E7" s="438">
        <v>5</v>
      </c>
      <c r="F7" s="439">
        <v>6</v>
      </c>
      <c r="G7" s="439">
        <v>7</v>
      </c>
      <c r="H7" s="439">
        <v>8</v>
      </c>
    </row>
    <row r="8" spans="1:8">
      <c r="A8" s="440" t="s">
        <v>12</v>
      </c>
      <c r="B8" s="441"/>
      <c r="C8" s="442"/>
      <c r="D8" s="442"/>
      <c r="E8" s="443" t="s">
        <v>25</v>
      </c>
      <c r="F8" s="470">
        <f>F9+F11</f>
        <v>50325</v>
      </c>
      <c r="G8" s="470">
        <f>G9+G11</f>
        <v>50159</v>
      </c>
      <c r="H8" s="468">
        <f>G8/F8*100</f>
        <v>99.67014406358669</v>
      </c>
    </row>
    <row r="9" spans="1:8" ht="12" customHeight="1">
      <c r="A9" s="608"/>
      <c r="B9" s="444" t="s">
        <v>46</v>
      </c>
      <c r="C9" s="445"/>
      <c r="D9" s="445"/>
      <c r="E9" s="446" t="s">
        <v>62</v>
      </c>
      <c r="F9" s="471">
        <f>F10</f>
        <v>50000</v>
      </c>
      <c r="G9" s="471">
        <f>G10</f>
        <v>49834</v>
      </c>
      <c r="H9" s="469">
        <f t="shared" ref="H9:H72" si="0">G9/F9*100</f>
        <v>99.668000000000006</v>
      </c>
    </row>
    <row r="10" spans="1:8">
      <c r="A10" s="608"/>
      <c r="B10" s="434"/>
      <c r="C10" s="445">
        <v>430</v>
      </c>
      <c r="D10" s="445">
        <v>0</v>
      </c>
      <c r="E10" s="447" t="s">
        <v>398</v>
      </c>
      <c r="F10" s="471">
        <v>50000</v>
      </c>
      <c r="G10" s="471">
        <v>49834</v>
      </c>
      <c r="H10" s="469">
        <f t="shared" si="0"/>
        <v>99.668000000000006</v>
      </c>
    </row>
    <row r="11" spans="1:8">
      <c r="A11" s="608"/>
      <c r="B11" s="444" t="s">
        <v>194</v>
      </c>
      <c r="C11" s="445"/>
      <c r="D11" s="445"/>
      <c r="E11" s="448" t="s">
        <v>72</v>
      </c>
      <c r="F11" s="471">
        <f>F12</f>
        <v>325</v>
      </c>
      <c r="G11" s="471">
        <f>G12</f>
        <v>325</v>
      </c>
      <c r="H11" s="469">
        <f t="shared" si="0"/>
        <v>100</v>
      </c>
    </row>
    <row r="12" spans="1:8" ht="22.5">
      <c r="A12" s="608"/>
      <c r="B12" s="434"/>
      <c r="C12" s="445">
        <v>450</v>
      </c>
      <c r="D12" s="445">
        <v>0</v>
      </c>
      <c r="E12" s="449" t="s">
        <v>399</v>
      </c>
      <c r="F12" s="471">
        <v>325</v>
      </c>
      <c r="G12" s="471">
        <v>325</v>
      </c>
      <c r="H12" s="469">
        <f t="shared" si="0"/>
        <v>100</v>
      </c>
    </row>
    <row r="13" spans="1:8">
      <c r="A13" s="440" t="s">
        <v>13</v>
      </c>
      <c r="B13" s="441"/>
      <c r="C13" s="442"/>
      <c r="D13" s="442"/>
      <c r="E13" s="450" t="s">
        <v>26</v>
      </c>
      <c r="F13" s="470">
        <f>F14+F16</f>
        <v>311973.09999999998</v>
      </c>
      <c r="G13" s="470">
        <f>G14+G16</f>
        <v>278950.84999999998</v>
      </c>
      <c r="H13" s="468">
        <f t="shared" si="0"/>
        <v>89.415032898669793</v>
      </c>
    </row>
    <row r="14" spans="1:8">
      <c r="A14" s="608"/>
      <c r="B14" s="444" t="s">
        <v>64</v>
      </c>
      <c r="C14" s="445"/>
      <c r="D14" s="445"/>
      <c r="E14" s="126" t="s">
        <v>65</v>
      </c>
      <c r="F14" s="471">
        <f>F15</f>
        <v>270000</v>
      </c>
      <c r="G14" s="471">
        <f>G15</f>
        <v>249898.03</v>
      </c>
      <c r="H14" s="469">
        <f t="shared" si="0"/>
        <v>92.554825925925925</v>
      </c>
    </row>
    <row r="15" spans="1:8">
      <c r="A15" s="608"/>
      <c r="B15" s="434"/>
      <c r="C15" s="445">
        <v>303</v>
      </c>
      <c r="D15" s="445">
        <v>0</v>
      </c>
      <c r="E15" s="447" t="s">
        <v>400</v>
      </c>
      <c r="F15" s="471">
        <v>270000</v>
      </c>
      <c r="G15" s="471">
        <v>249898.03</v>
      </c>
      <c r="H15" s="469">
        <f t="shared" si="0"/>
        <v>92.554825925925925</v>
      </c>
    </row>
    <row r="16" spans="1:8">
      <c r="A16" s="608"/>
      <c r="B16" s="444" t="s">
        <v>99</v>
      </c>
      <c r="C16" s="445"/>
      <c r="D16" s="445"/>
      <c r="E16" s="126" t="s">
        <v>100</v>
      </c>
      <c r="F16" s="471">
        <f>F18+F19+F17</f>
        <v>41973.1</v>
      </c>
      <c r="G16" s="471">
        <f>G18+G19+G17</f>
        <v>29052.820000000003</v>
      </c>
      <c r="H16" s="469">
        <f t="shared" si="0"/>
        <v>69.217713249676592</v>
      </c>
    </row>
    <row r="17" spans="1:8">
      <c r="A17" s="608"/>
      <c r="B17" s="609"/>
      <c r="C17" s="445">
        <v>421</v>
      </c>
      <c r="D17" s="445">
        <v>0</v>
      </c>
      <c r="E17" s="451" t="s">
        <v>401</v>
      </c>
      <c r="F17" s="471">
        <v>1500</v>
      </c>
      <c r="G17" s="471">
        <v>675.27</v>
      </c>
      <c r="H17" s="469">
        <f t="shared" si="0"/>
        <v>45.017999999999994</v>
      </c>
    </row>
    <row r="18" spans="1:8">
      <c r="A18" s="608"/>
      <c r="B18" s="610"/>
      <c r="C18" s="445">
        <v>430</v>
      </c>
      <c r="D18" s="445">
        <v>0</v>
      </c>
      <c r="E18" s="447" t="s">
        <v>398</v>
      </c>
      <c r="F18" s="471">
        <v>38086.089999999997</v>
      </c>
      <c r="G18" s="471">
        <v>25990.54</v>
      </c>
      <c r="H18" s="469">
        <f t="shared" si="0"/>
        <v>68.241554856379324</v>
      </c>
    </row>
    <row r="19" spans="1:8">
      <c r="A19" s="608"/>
      <c r="B19" s="611"/>
      <c r="C19" s="445">
        <v>453</v>
      </c>
      <c r="D19" s="445">
        <v>0</v>
      </c>
      <c r="E19" s="447" t="s">
        <v>402</v>
      </c>
      <c r="F19" s="471">
        <v>2387.0100000000002</v>
      </c>
      <c r="G19" s="471">
        <v>2387.0100000000002</v>
      </c>
      <c r="H19" s="469">
        <f t="shared" si="0"/>
        <v>100</v>
      </c>
    </row>
    <row r="20" spans="1:8">
      <c r="A20" s="441">
        <v>600</v>
      </c>
      <c r="B20" s="441"/>
      <c r="C20" s="442"/>
      <c r="D20" s="442"/>
      <c r="E20" s="450" t="s">
        <v>67</v>
      </c>
      <c r="F20" s="470">
        <f>F21+F47</f>
        <v>6771728.0300000003</v>
      </c>
      <c r="G20" s="470">
        <f>G21+G47</f>
        <v>6605817.2700000005</v>
      </c>
      <c r="H20" s="468">
        <f t="shared" si="0"/>
        <v>97.549949447689215</v>
      </c>
    </row>
    <row r="21" spans="1:8">
      <c r="A21" s="612"/>
      <c r="B21" s="434">
        <v>60014</v>
      </c>
      <c r="C21" s="445"/>
      <c r="D21" s="445"/>
      <c r="E21" s="89" t="s">
        <v>37</v>
      </c>
      <c r="F21" s="471">
        <f>SUM(F22:F46)</f>
        <v>6492469.3799999999</v>
      </c>
      <c r="G21" s="471">
        <f>SUM(G22:G46)</f>
        <v>6415836.1000000006</v>
      </c>
      <c r="H21" s="469">
        <f t="shared" si="0"/>
        <v>98.819658969265717</v>
      </c>
    </row>
    <row r="22" spans="1:8" ht="24" customHeight="1">
      <c r="A22" s="613"/>
      <c r="B22" s="612"/>
      <c r="C22" s="445">
        <v>231</v>
      </c>
      <c r="D22" s="445">
        <v>0</v>
      </c>
      <c r="E22" s="89" t="s">
        <v>403</v>
      </c>
      <c r="F22" s="471">
        <v>80000</v>
      </c>
      <c r="G22" s="471">
        <v>80000</v>
      </c>
      <c r="H22" s="469">
        <f t="shared" si="0"/>
        <v>100</v>
      </c>
    </row>
    <row r="23" spans="1:8">
      <c r="A23" s="613"/>
      <c r="B23" s="613"/>
      <c r="C23" s="445">
        <v>302</v>
      </c>
      <c r="D23" s="445">
        <v>0</v>
      </c>
      <c r="E23" s="451" t="s">
        <v>404</v>
      </c>
      <c r="F23" s="471">
        <v>24629</v>
      </c>
      <c r="G23" s="471">
        <v>21945.88</v>
      </c>
      <c r="H23" s="469">
        <f t="shared" si="0"/>
        <v>89.105850826261729</v>
      </c>
    </row>
    <row r="24" spans="1:8">
      <c r="A24" s="613"/>
      <c r="B24" s="613"/>
      <c r="C24" s="445">
        <v>401</v>
      </c>
      <c r="D24" s="445">
        <v>0</v>
      </c>
      <c r="E24" s="451" t="s">
        <v>405</v>
      </c>
      <c r="F24" s="471">
        <v>893075.8</v>
      </c>
      <c r="G24" s="471">
        <v>867808.68</v>
      </c>
      <c r="H24" s="469">
        <f t="shared" si="0"/>
        <v>97.170775425781329</v>
      </c>
    </row>
    <row r="25" spans="1:8">
      <c r="A25" s="613"/>
      <c r="B25" s="613"/>
      <c r="C25" s="445">
        <v>404</v>
      </c>
      <c r="D25" s="445">
        <v>0</v>
      </c>
      <c r="E25" s="451" t="s">
        <v>406</v>
      </c>
      <c r="F25" s="471">
        <v>57474</v>
      </c>
      <c r="G25" s="471">
        <v>56320.02</v>
      </c>
      <c r="H25" s="469">
        <f t="shared" si="0"/>
        <v>97.992170372690254</v>
      </c>
    </row>
    <row r="26" spans="1:8">
      <c r="A26" s="613"/>
      <c r="B26" s="613"/>
      <c r="C26" s="445">
        <v>411</v>
      </c>
      <c r="D26" s="445">
        <v>0</v>
      </c>
      <c r="E26" s="451" t="s">
        <v>407</v>
      </c>
      <c r="F26" s="471">
        <v>139000</v>
      </c>
      <c r="G26" s="471">
        <v>130688.85</v>
      </c>
      <c r="H26" s="469">
        <f t="shared" si="0"/>
        <v>94.020755395683452</v>
      </c>
    </row>
    <row r="27" spans="1:8">
      <c r="A27" s="613"/>
      <c r="B27" s="613"/>
      <c r="C27" s="445">
        <v>412</v>
      </c>
      <c r="D27" s="445">
        <v>0</v>
      </c>
      <c r="E27" s="451" t="s">
        <v>408</v>
      </c>
      <c r="F27" s="471">
        <v>17117</v>
      </c>
      <c r="G27" s="471">
        <v>14621.28</v>
      </c>
      <c r="H27" s="469">
        <f t="shared" si="0"/>
        <v>85.419641292282535</v>
      </c>
    </row>
    <row r="28" spans="1:8">
      <c r="A28" s="613"/>
      <c r="B28" s="613"/>
      <c r="C28" s="445">
        <v>417</v>
      </c>
      <c r="D28" s="445">
        <v>0</v>
      </c>
      <c r="E28" s="451" t="s">
        <v>409</v>
      </c>
      <c r="F28" s="471">
        <v>5500</v>
      </c>
      <c r="G28" s="471">
        <v>5500</v>
      </c>
      <c r="H28" s="469">
        <f t="shared" si="0"/>
        <v>100</v>
      </c>
    </row>
    <row r="29" spans="1:8">
      <c r="A29" s="613"/>
      <c r="B29" s="613"/>
      <c r="C29" s="445">
        <v>421</v>
      </c>
      <c r="D29" s="445">
        <v>0</v>
      </c>
      <c r="E29" s="451" t="s">
        <v>401</v>
      </c>
      <c r="F29" s="471">
        <v>617530</v>
      </c>
      <c r="G29" s="471">
        <v>617437.01</v>
      </c>
      <c r="H29" s="469">
        <f t="shared" si="0"/>
        <v>99.984941622269361</v>
      </c>
    </row>
    <row r="30" spans="1:8">
      <c r="A30" s="613"/>
      <c r="B30" s="613"/>
      <c r="C30" s="445">
        <v>426</v>
      </c>
      <c r="D30" s="445">
        <v>0</v>
      </c>
      <c r="E30" s="451" t="s">
        <v>410</v>
      </c>
      <c r="F30" s="471">
        <v>35000</v>
      </c>
      <c r="G30" s="471">
        <v>34040.050000000003</v>
      </c>
      <c r="H30" s="469">
        <f t="shared" si="0"/>
        <v>97.257285714285729</v>
      </c>
    </row>
    <row r="31" spans="1:8">
      <c r="A31" s="613"/>
      <c r="B31" s="613"/>
      <c r="C31" s="445">
        <v>427</v>
      </c>
      <c r="D31" s="445">
        <v>0</v>
      </c>
      <c r="E31" s="451" t="s">
        <v>411</v>
      </c>
      <c r="F31" s="471">
        <v>780000</v>
      </c>
      <c r="G31" s="471">
        <v>776728.32</v>
      </c>
      <c r="H31" s="469">
        <f t="shared" si="0"/>
        <v>99.580553846153848</v>
      </c>
    </row>
    <row r="32" spans="1:8">
      <c r="A32" s="613"/>
      <c r="B32" s="613"/>
      <c r="C32" s="445">
        <v>428</v>
      </c>
      <c r="D32" s="445">
        <v>0</v>
      </c>
      <c r="E32" s="451" t="s">
        <v>412</v>
      </c>
      <c r="F32" s="471">
        <v>1060</v>
      </c>
      <c r="G32" s="471">
        <v>630</v>
      </c>
      <c r="H32" s="469">
        <f t="shared" si="0"/>
        <v>59.433962264150942</v>
      </c>
    </row>
    <row r="33" spans="1:8">
      <c r="A33" s="613"/>
      <c r="B33" s="613"/>
      <c r="C33" s="445">
        <v>430</v>
      </c>
      <c r="D33" s="445">
        <v>0</v>
      </c>
      <c r="E33" s="451" t="s">
        <v>398</v>
      </c>
      <c r="F33" s="471">
        <v>471608</v>
      </c>
      <c r="G33" s="471">
        <v>459142.13</v>
      </c>
      <c r="H33" s="469">
        <f t="shared" si="0"/>
        <v>97.356730589811875</v>
      </c>
    </row>
    <row r="34" spans="1:8">
      <c r="A34" s="613"/>
      <c r="B34" s="613"/>
      <c r="C34" s="445">
        <v>435</v>
      </c>
      <c r="D34" s="445">
        <v>0</v>
      </c>
      <c r="E34" s="451" t="s">
        <v>413</v>
      </c>
      <c r="F34" s="471">
        <v>3183</v>
      </c>
      <c r="G34" s="471">
        <v>2706.5</v>
      </c>
      <c r="H34" s="469">
        <f t="shared" si="0"/>
        <v>85.029846057178759</v>
      </c>
    </row>
    <row r="35" spans="1:8" ht="22.5">
      <c r="A35" s="613"/>
      <c r="B35" s="613"/>
      <c r="C35" s="445">
        <v>436</v>
      </c>
      <c r="D35" s="445">
        <v>0</v>
      </c>
      <c r="E35" s="452" t="s">
        <v>414</v>
      </c>
      <c r="F35" s="471">
        <v>8955</v>
      </c>
      <c r="G35" s="471">
        <v>8785.58</v>
      </c>
      <c r="H35" s="469">
        <f t="shared" si="0"/>
        <v>98.108096035734221</v>
      </c>
    </row>
    <row r="36" spans="1:8" ht="22.5">
      <c r="A36" s="613"/>
      <c r="B36" s="613"/>
      <c r="C36" s="445">
        <v>437</v>
      </c>
      <c r="D36" s="445">
        <v>0</v>
      </c>
      <c r="E36" s="452" t="s">
        <v>415</v>
      </c>
      <c r="F36" s="471">
        <v>3865</v>
      </c>
      <c r="G36" s="471">
        <v>2700.69</v>
      </c>
      <c r="H36" s="469">
        <f t="shared" si="0"/>
        <v>69.87554980595084</v>
      </c>
    </row>
    <row r="37" spans="1:8">
      <c r="A37" s="613"/>
      <c r="B37" s="613"/>
      <c r="C37" s="445">
        <v>441</v>
      </c>
      <c r="D37" s="445">
        <v>0</v>
      </c>
      <c r="E37" s="451" t="s">
        <v>416</v>
      </c>
      <c r="F37" s="471">
        <v>430</v>
      </c>
      <c r="G37" s="471">
        <v>124.6</v>
      </c>
      <c r="H37" s="469">
        <f t="shared" si="0"/>
        <v>28.97674418604651</v>
      </c>
    </row>
    <row r="38" spans="1:8">
      <c r="A38" s="613"/>
      <c r="B38" s="613"/>
      <c r="C38" s="445">
        <v>444</v>
      </c>
      <c r="D38" s="445">
        <v>0</v>
      </c>
      <c r="E38" s="451" t="s">
        <v>417</v>
      </c>
      <c r="F38" s="471">
        <v>23210</v>
      </c>
      <c r="G38" s="471">
        <v>23209.54</v>
      </c>
      <c r="H38" s="469">
        <f t="shared" si="0"/>
        <v>99.998018095648433</v>
      </c>
    </row>
    <row r="39" spans="1:8">
      <c r="A39" s="613"/>
      <c r="B39" s="613"/>
      <c r="C39" s="445">
        <v>448</v>
      </c>
      <c r="D39" s="445">
        <v>0</v>
      </c>
      <c r="E39" s="451" t="s">
        <v>418</v>
      </c>
      <c r="F39" s="471">
        <v>5155</v>
      </c>
      <c r="G39" s="471">
        <v>5155</v>
      </c>
      <c r="H39" s="469">
        <f t="shared" si="0"/>
        <v>100</v>
      </c>
    </row>
    <row r="40" spans="1:8">
      <c r="A40" s="613"/>
      <c r="B40" s="613"/>
      <c r="C40" s="445">
        <v>451</v>
      </c>
      <c r="D40" s="445">
        <v>0</v>
      </c>
      <c r="E40" s="452" t="s">
        <v>419</v>
      </c>
      <c r="F40" s="471">
        <v>500</v>
      </c>
      <c r="G40" s="471">
        <v>144</v>
      </c>
      <c r="H40" s="469">
        <f t="shared" si="0"/>
        <v>28.799999999999997</v>
      </c>
    </row>
    <row r="41" spans="1:8">
      <c r="A41" s="613"/>
      <c r="B41" s="613"/>
      <c r="C41" s="445">
        <v>452</v>
      </c>
      <c r="D41" s="445">
        <v>0</v>
      </c>
      <c r="E41" s="451" t="s">
        <v>420</v>
      </c>
      <c r="F41" s="471">
        <v>1989</v>
      </c>
      <c r="G41" s="471">
        <v>1988.4</v>
      </c>
      <c r="H41" s="469">
        <f t="shared" si="0"/>
        <v>99.969834087481146</v>
      </c>
    </row>
    <row r="42" spans="1:8">
      <c r="A42" s="613"/>
      <c r="B42" s="613"/>
      <c r="C42" s="445">
        <v>461</v>
      </c>
      <c r="D42" s="445">
        <v>0</v>
      </c>
      <c r="E42" s="451" t="s">
        <v>421</v>
      </c>
      <c r="F42" s="471">
        <v>200</v>
      </c>
      <c r="G42" s="471">
        <v>200</v>
      </c>
      <c r="H42" s="469">
        <f t="shared" si="0"/>
        <v>100</v>
      </c>
    </row>
    <row r="43" spans="1:8" ht="22.5">
      <c r="A43" s="613"/>
      <c r="B43" s="613"/>
      <c r="C43" s="445">
        <v>470</v>
      </c>
      <c r="D43" s="445">
        <v>0</v>
      </c>
      <c r="E43" s="452" t="s">
        <v>422</v>
      </c>
      <c r="F43" s="471">
        <v>11155</v>
      </c>
      <c r="G43" s="471">
        <v>10030.1</v>
      </c>
      <c r="H43" s="469">
        <f t="shared" si="0"/>
        <v>89.915732855221876</v>
      </c>
    </row>
    <row r="44" spans="1:8">
      <c r="A44" s="613"/>
      <c r="B44" s="613"/>
      <c r="C44" s="445">
        <v>605</v>
      </c>
      <c r="D44" s="445">
        <v>0</v>
      </c>
      <c r="E44" s="451" t="s">
        <v>423</v>
      </c>
      <c r="F44" s="471">
        <v>3209677.58</v>
      </c>
      <c r="G44" s="471">
        <v>3209677.19</v>
      </c>
      <c r="H44" s="469">
        <f t="shared" si="0"/>
        <v>99.999987849246835</v>
      </c>
    </row>
    <row r="45" spans="1:8">
      <c r="A45" s="613"/>
      <c r="B45" s="613"/>
      <c r="C45" s="445">
        <v>606</v>
      </c>
      <c r="D45" s="445">
        <v>0</v>
      </c>
      <c r="E45" s="452" t="s">
        <v>424</v>
      </c>
      <c r="F45" s="471">
        <v>69856</v>
      </c>
      <c r="G45" s="471">
        <v>54007</v>
      </c>
      <c r="H45" s="469">
        <f t="shared" si="0"/>
        <v>77.31189876316995</v>
      </c>
    </row>
    <row r="46" spans="1:8" ht="33.75">
      <c r="A46" s="613"/>
      <c r="B46" s="614"/>
      <c r="C46" s="445">
        <v>661</v>
      </c>
      <c r="D46" s="445">
        <v>0</v>
      </c>
      <c r="E46" s="452" t="s">
        <v>425</v>
      </c>
      <c r="F46" s="471">
        <v>32300</v>
      </c>
      <c r="G46" s="471">
        <v>32245.279999999999</v>
      </c>
      <c r="H46" s="469">
        <f t="shared" si="0"/>
        <v>99.830588235294115</v>
      </c>
    </row>
    <row r="47" spans="1:8">
      <c r="A47" s="613"/>
      <c r="B47" s="434">
        <v>60016</v>
      </c>
      <c r="C47" s="445"/>
      <c r="D47" s="445"/>
      <c r="E47" s="453" t="s">
        <v>195</v>
      </c>
      <c r="F47" s="471">
        <f>F48+F49</f>
        <v>279258.65000000002</v>
      </c>
      <c r="G47" s="471">
        <f>G48+G49</f>
        <v>189981.16999999998</v>
      </c>
      <c r="H47" s="469">
        <f t="shared" si="0"/>
        <v>68.030540862386886</v>
      </c>
    </row>
    <row r="48" spans="1:8" ht="36" customHeight="1">
      <c r="A48" s="613"/>
      <c r="B48" s="612"/>
      <c r="C48" s="445">
        <v>630</v>
      </c>
      <c r="D48" s="445">
        <v>0</v>
      </c>
      <c r="E48" s="454" t="s">
        <v>426</v>
      </c>
      <c r="F48" s="471">
        <v>100000</v>
      </c>
      <c r="G48" s="471">
        <v>100000</v>
      </c>
      <c r="H48" s="469">
        <f t="shared" si="0"/>
        <v>100</v>
      </c>
    </row>
    <row r="49" spans="1:8" ht="33.75">
      <c r="A49" s="614"/>
      <c r="B49" s="614"/>
      <c r="C49" s="445">
        <v>661</v>
      </c>
      <c r="D49" s="445">
        <v>7</v>
      </c>
      <c r="E49" s="452" t="s">
        <v>425</v>
      </c>
      <c r="F49" s="471">
        <v>179258.65</v>
      </c>
      <c r="G49" s="471">
        <v>89981.17</v>
      </c>
      <c r="H49" s="469">
        <f t="shared" si="0"/>
        <v>50.196277836522817</v>
      </c>
    </row>
    <row r="50" spans="1:8">
      <c r="A50" s="441">
        <v>700</v>
      </c>
      <c r="B50" s="441"/>
      <c r="C50" s="442"/>
      <c r="D50" s="442"/>
      <c r="E50" s="455" t="s">
        <v>27</v>
      </c>
      <c r="F50" s="470">
        <f>F51</f>
        <v>229027</v>
      </c>
      <c r="G50" s="470">
        <f>G51</f>
        <v>210550.12999999998</v>
      </c>
      <c r="H50" s="468">
        <f t="shared" si="0"/>
        <v>91.932449012561818</v>
      </c>
    </row>
    <row r="51" spans="1:8">
      <c r="A51" s="605"/>
      <c r="B51" s="434">
        <v>70005</v>
      </c>
      <c r="C51" s="445"/>
      <c r="D51" s="445"/>
      <c r="E51" s="453" t="s">
        <v>68</v>
      </c>
      <c r="F51" s="471">
        <f>SUM(F52:F62)</f>
        <v>229027</v>
      </c>
      <c r="G51" s="471">
        <f>SUM(G52:G62)</f>
        <v>210550.12999999998</v>
      </c>
      <c r="H51" s="469">
        <f t="shared" si="0"/>
        <v>91.932449012561818</v>
      </c>
    </row>
    <row r="52" spans="1:8">
      <c r="A52" s="605"/>
      <c r="B52" s="605"/>
      <c r="C52" s="445">
        <v>421</v>
      </c>
      <c r="D52" s="445">
        <v>0</v>
      </c>
      <c r="E52" s="451" t="s">
        <v>401</v>
      </c>
      <c r="F52" s="471">
        <v>500</v>
      </c>
      <c r="G52" s="471">
        <v>0</v>
      </c>
      <c r="H52" s="469">
        <f t="shared" si="0"/>
        <v>0</v>
      </c>
    </row>
    <row r="53" spans="1:8">
      <c r="A53" s="605"/>
      <c r="B53" s="605"/>
      <c r="C53" s="445">
        <v>426</v>
      </c>
      <c r="D53" s="445">
        <v>0</v>
      </c>
      <c r="E53" s="451" t="s">
        <v>410</v>
      </c>
      <c r="F53" s="471">
        <v>21000</v>
      </c>
      <c r="G53" s="471">
        <v>14765.98</v>
      </c>
      <c r="H53" s="469">
        <f t="shared" si="0"/>
        <v>70.314190476190475</v>
      </c>
    </row>
    <row r="54" spans="1:8">
      <c r="A54" s="605"/>
      <c r="B54" s="605"/>
      <c r="C54" s="445">
        <v>427</v>
      </c>
      <c r="D54" s="445">
        <v>0</v>
      </c>
      <c r="E54" s="451" t="s">
        <v>411</v>
      </c>
      <c r="F54" s="471">
        <v>36000</v>
      </c>
      <c r="G54" s="471">
        <v>34340.129999999997</v>
      </c>
      <c r="H54" s="469">
        <f t="shared" si="0"/>
        <v>95.38924999999999</v>
      </c>
    </row>
    <row r="55" spans="1:8">
      <c r="A55" s="605"/>
      <c r="B55" s="605"/>
      <c r="C55" s="445">
        <v>430</v>
      </c>
      <c r="D55" s="445">
        <v>0</v>
      </c>
      <c r="E55" s="451" t="s">
        <v>398</v>
      </c>
      <c r="F55" s="471">
        <v>106236.41</v>
      </c>
      <c r="G55" s="471">
        <v>101175.48</v>
      </c>
      <c r="H55" s="469">
        <f t="shared" si="0"/>
        <v>95.236162441859619</v>
      </c>
    </row>
    <row r="56" spans="1:8" ht="22.5">
      <c r="A56" s="605"/>
      <c r="B56" s="605"/>
      <c r="C56" s="445">
        <v>440</v>
      </c>
      <c r="D56" s="445">
        <v>0</v>
      </c>
      <c r="E56" s="452" t="s">
        <v>427</v>
      </c>
      <c r="F56" s="471">
        <v>6300</v>
      </c>
      <c r="G56" s="471">
        <v>6200.86</v>
      </c>
      <c r="H56" s="469">
        <f t="shared" si="0"/>
        <v>98.426349206349201</v>
      </c>
    </row>
    <row r="57" spans="1:8">
      <c r="A57" s="605"/>
      <c r="B57" s="605"/>
      <c r="C57" s="445">
        <v>448</v>
      </c>
      <c r="D57" s="445">
        <v>0</v>
      </c>
      <c r="E57" s="452" t="s">
        <v>418</v>
      </c>
      <c r="F57" s="471">
        <v>27193</v>
      </c>
      <c r="G57" s="471">
        <v>27193</v>
      </c>
      <c r="H57" s="469">
        <f t="shared" si="0"/>
        <v>100</v>
      </c>
    </row>
    <row r="58" spans="1:8">
      <c r="A58" s="605"/>
      <c r="B58" s="605"/>
      <c r="C58" s="445">
        <v>451</v>
      </c>
      <c r="D58" s="445">
        <v>0</v>
      </c>
      <c r="E58" s="435" t="s">
        <v>419</v>
      </c>
      <c r="F58" s="471">
        <v>200</v>
      </c>
      <c r="G58" s="471">
        <v>0</v>
      </c>
      <c r="H58" s="469">
        <f t="shared" si="0"/>
        <v>0</v>
      </c>
    </row>
    <row r="59" spans="1:8">
      <c r="A59" s="605"/>
      <c r="B59" s="605"/>
      <c r="C59" s="445">
        <v>452</v>
      </c>
      <c r="D59" s="445">
        <v>0</v>
      </c>
      <c r="E59" s="451" t="s">
        <v>420</v>
      </c>
      <c r="F59" s="471">
        <v>1000</v>
      </c>
      <c r="G59" s="471">
        <v>503.06</v>
      </c>
      <c r="H59" s="469">
        <f t="shared" si="0"/>
        <v>50.305999999999997</v>
      </c>
    </row>
    <row r="60" spans="1:8">
      <c r="A60" s="605"/>
      <c r="B60" s="605"/>
      <c r="C60" s="445">
        <v>453</v>
      </c>
      <c r="D60" s="445">
        <v>0</v>
      </c>
      <c r="E60" s="451" t="s">
        <v>402</v>
      </c>
      <c r="F60" s="471">
        <v>19310.59</v>
      </c>
      <c r="G60" s="471">
        <v>18403.32</v>
      </c>
      <c r="H60" s="469">
        <f t="shared" si="0"/>
        <v>95.301697151666517</v>
      </c>
    </row>
    <row r="61" spans="1:8">
      <c r="A61" s="605"/>
      <c r="B61" s="605"/>
      <c r="C61" s="445">
        <v>458</v>
      </c>
      <c r="D61" s="445">
        <v>0</v>
      </c>
      <c r="E61" s="456" t="s">
        <v>57</v>
      </c>
      <c r="F61" s="471">
        <v>27</v>
      </c>
      <c r="G61" s="471">
        <v>27</v>
      </c>
      <c r="H61" s="469">
        <f t="shared" si="0"/>
        <v>100</v>
      </c>
    </row>
    <row r="62" spans="1:8">
      <c r="A62" s="605"/>
      <c r="B62" s="605"/>
      <c r="C62" s="445">
        <v>461</v>
      </c>
      <c r="D62" s="445">
        <v>0</v>
      </c>
      <c r="E62" s="451" t="s">
        <v>421</v>
      </c>
      <c r="F62" s="471">
        <v>11260</v>
      </c>
      <c r="G62" s="471">
        <v>7941.3</v>
      </c>
      <c r="H62" s="469">
        <f t="shared" si="0"/>
        <v>70.526642984014217</v>
      </c>
    </row>
    <row r="63" spans="1:8">
      <c r="A63" s="441">
        <v>710</v>
      </c>
      <c r="B63" s="441"/>
      <c r="C63" s="442"/>
      <c r="D63" s="442"/>
      <c r="E63" s="455" t="s">
        <v>101</v>
      </c>
      <c r="F63" s="470">
        <f>F64+F66+F69</f>
        <v>415428.18</v>
      </c>
      <c r="G63" s="470">
        <f>G64+G66+G69</f>
        <v>415270.57999999996</v>
      </c>
      <c r="H63" s="468">
        <f t="shared" si="0"/>
        <v>99.962063237982548</v>
      </c>
    </row>
    <row r="64" spans="1:8">
      <c r="A64" s="605"/>
      <c r="B64" s="434">
        <v>71013</v>
      </c>
      <c r="C64" s="445"/>
      <c r="D64" s="445"/>
      <c r="E64" s="453" t="s">
        <v>102</v>
      </c>
      <c r="F64" s="471">
        <f>F65</f>
        <v>107000</v>
      </c>
      <c r="G64" s="471">
        <f>G65</f>
        <v>107000</v>
      </c>
      <c r="H64" s="469">
        <f t="shared" si="0"/>
        <v>100</v>
      </c>
    </row>
    <row r="65" spans="1:8">
      <c r="A65" s="605"/>
      <c r="B65" s="434"/>
      <c r="C65" s="445">
        <v>430</v>
      </c>
      <c r="D65" s="445">
        <v>0</v>
      </c>
      <c r="E65" s="451" t="s">
        <v>398</v>
      </c>
      <c r="F65" s="471">
        <v>107000</v>
      </c>
      <c r="G65" s="471">
        <v>107000</v>
      </c>
      <c r="H65" s="469">
        <f t="shared" si="0"/>
        <v>100</v>
      </c>
    </row>
    <row r="66" spans="1:8">
      <c r="A66" s="605"/>
      <c r="B66" s="434">
        <v>71014</v>
      </c>
      <c r="C66" s="445"/>
      <c r="D66" s="445"/>
      <c r="E66" s="457" t="s">
        <v>70</v>
      </c>
      <c r="F66" s="471">
        <f>F67+F68</f>
        <v>22428.18</v>
      </c>
      <c r="G66" s="471">
        <f>G67+G68</f>
        <v>22275.84</v>
      </c>
      <c r="H66" s="469">
        <f t="shared" si="0"/>
        <v>99.320765215902497</v>
      </c>
    </row>
    <row r="67" spans="1:8">
      <c r="A67" s="605"/>
      <c r="B67" s="612"/>
      <c r="C67" s="445">
        <v>430</v>
      </c>
      <c r="D67" s="445">
        <v>0</v>
      </c>
      <c r="E67" s="451" t="s">
        <v>398</v>
      </c>
      <c r="F67" s="471">
        <v>22000</v>
      </c>
      <c r="G67" s="471">
        <v>21947</v>
      </c>
      <c r="H67" s="469">
        <f t="shared" si="0"/>
        <v>99.759090909090915</v>
      </c>
    </row>
    <row r="68" spans="1:8">
      <c r="A68" s="605"/>
      <c r="B68" s="614"/>
      <c r="C68" s="445">
        <v>461</v>
      </c>
      <c r="D68" s="445">
        <v>0</v>
      </c>
      <c r="E68" s="451" t="s">
        <v>421</v>
      </c>
      <c r="F68" s="471">
        <v>428.18</v>
      </c>
      <c r="G68" s="471">
        <v>328.84</v>
      </c>
      <c r="H68" s="469">
        <f t="shared" si="0"/>
        <v>76.799476855528042</v>
      </c>
    </row>
    <row r="69" spans="1:8">
      <c r="A69" s="605"/>
      <c r="B69" s="434">
        <v>71015</v>
      </c>
      <c r="C69" s="445"/>
      <c r="D69" s="445"/>
      <c r="E69" s="457" t="s">
        <v>71</v>
      </c>
      <c r="F69" s="471">
        <f>SUM(F70:F85)</f>
        <v>286000</v>
      </c>
      <c r="G69" s="471">
        <f>SUM(G70:G85)</f>
        <v>285994.74</v>
      </c>
      <c r="H69" s="469">
        <f t="shared" si="0"/>
        <v>99.998160839160832</v>
      </c>
    </row>
    <row r="70" spans="1:8">
      <c r="A70" s="605"/>
      <c r="B70" s="605"/>
      <c r="C70" s="445">
        <v>401</v>
      </c>
      <c r="D70" s="445">
        <v>0</v>
      </c>
      <c r="E70" s="451" t="s">
        <v>405</v>
      </c>
      <c r="F70" s="471">
        <v>71225</v>
      </c>
      <c r="G70" s="471">
        <v>71224.800000000003</v>
      </c>
      <c r="H70" s="469">
        <f t="shared" si="0"/>
        <v>99.999719199719209</v>
      </c>
    </row>
    <row r="71" spans="1:8">
      <c r="A71" s="605"/>
      <c r="B71" s="605"/>
      <c r="C71" s="445">
        <v>402</v>
      </c>
      <c r="D71" s="445">
        <v>0</v>
      </c>
      <c r="E71" s="452" t="s">
        <v>428</v>
      </c>
      <c r="F71" s="471">
        <v>124060</v>
      </c>
      <c r="G71" s="471">
        <v>124059.52</v>
      </c>
      <c r="H71" s="469">
        <f t="shared" si="0"/>
        <v>99.999613090440107</v>
      </c>
    </row>
    <row r="72" spans="1:8">
      <c r="A72" s="605"/>
      <c r="B72" s="605"/>
      <c r="C72" s="445">
        <v>404</v>
      </c>
      <c r="D72" s="445">
        <v>0</v>
      </c>
      <c r="E72" s="451" t="s">
        <v>406</v>
      </c>
      <c r="F72" s="471">
        <v>15361</v>
      </c>
      <c r="G72" s="471">
        <v>15360.54</v>
      </c>
      <c r="H72" s="469">
        <f t="shared" si="0"/>
        <v>99.997005403294054</v>
      </c>
    </row>
    <row r="73" spans="1:8">
      <c r="A73" s="605"/>
      <c r="B73" s="605"/>
      <c r="C73" s="445">
        <v>411</v>
      </c>
      <c r="D73" s="445">
        <v>0</v>
      </c>
      <c r="E73" s="451" t="s">
        <v>407</v>
      </c>
      <c r="F73" s="471">
        <v>32352</v>
      </c>
      <c r="G73" s="471">
        <v>32351.79</v>
      </c>
      <c r="H73" s="469">
        <f t="shared" ref="H73:H136" si="1">G73/F73*100</f>
        <v>99.999350890207722</v>
      </c>
    </row>
    <row r="74" spans="1:8">
      <c r="A74" s="605"/>
      <c r="B74" s="605"/>
      <c r="C74" s="445">
        <v>412</v>
      </c>
      <c r="D74" s="445">
        <v>0</v>
      </c>
      <c r="E74" s="451" t="s">
        <v>408</v>
      </c>
      <c r="F74" s="471">
        <v>3659</v>
      </c>
      <c r="G74" s="471">
        <v>3658.22</v>
      </c>
      <c r="H74" s="469">
        <f t="shared" si="1"/>
        <v>99.9786827001913</v>
      </c>
    </row>
    <row r="75" spans="1:8">
      <c r="A75" s="605"/>
      <c r="B75" s="605"/>
      <c r="C75" s="445">
        <v>421</v>
      </c>
      <c r="D75" s="445">
        <v>0</v>
      </c>
      <c r="E75" s="451" t="s">
        <v>401</v>
      </c>
      <c r="F75" s="471">
        <v>18751</v>
      </c>
      <c r="G75" s="471">
        <v>18751</v>
      </c>
      <c r="H75" s="469">
        <f t="shared" si="1"/>
        <v>100</v>
      </c>
    </row>
    <row r="76" spans="1:8">
      <c r="A76" s="605"/>
      <c r="B76" s="605"/>
      <c r="C76" s="445">
        <v>427</v>
      </c>
      <c r="D76" s="445">
        <v>0</v>
      </c>
      <c r="E76" s="451" t="s">
        <v>411</v>
      </c>
      <c r="F76" s="471">
        <v>3023</v>
      </c>
      <c r="G76" s="471">
        <v>3022.75</v>
      </c>
      <c r="H76" s="469">
        <f t="shared" si="1"/>
        <v>99.991730069467422</v>
      </c>
    </row>
    <row r="77" spans="1:8">
      <c r="A77" s="605"/>
      <c r="B77" s="605"/>
      <c r="C77" s="445">
        <v>428</v>
      </c>
      <c r="D77" s="445">
        <v>0</v>
      </c>
      <c r="E77" s="451" t="s">
        <v>412</v>
      </c>
      <c r="F77" s="471">
        <v>90</v>
      </c>
      <c r="G77" s="471">
        <v>90</v>
      </c>
      <c r="H77" s="469">
        <f t="shared" si="1"/>
        <v>100</v>
      </c>
    </row>
    <row r="78" spans="1:8">
      <c r="A78" s="605"/>
      <c r="B78" s="605"/>
      <c r="C78" s="445">
        <v>430</v>
      </c>
      <c r="D78" s="445">
        <v>0</v>
      </c>
      <c r="E78" s="451" t="s">
        <v>398</v>
      </c>
      <c r="F78" s="471">
        <v>4322</v>
      </c>
      <c r="G78" s="471">
        <v>4321.32</v>
      </c>
      <c r="H78" s="469">
        <f t="shared" si="1"/>
        <v>99.984266543266997</v>
      </c>
    </row>
    <row r="79" spans="1:8">
      <c r="A79" s="605"/>
      <c r="B79" s="605"/>
      <c r="C79" s="445">
        <v>435</v>
      </c>
      <c r="D79" s="445">
        <v>0</v>
      </c>
      <c r="E79" s="451" t="s">
        <v>413</v>
      </c>
      <c r="F79" s="471">
        <v>565</v>
      </c>
      <c r="G79" s="471">
        <v>564.66</v>
      </c>
      <c r="H79" s="469">
        <f t="shared" si="1"/>
        <v>99.939823008849544</v>
      </c>
    </row>
    <row r="80" spans="1:8" ht="22.5">
      <c r="A80" s="605"/>
      <c r="B80" s="605"/>
      <c r="C80" s="445">
        <v>437</v>
      </c>
      <c r="D80" s="445">
        <v>0</v>
      </c>
      <c r="E80" s="452" t="s">
        <v>415</v>
      </c>
      <c r="F80" s="471">
        <v>1470</v>
      </c>
      <c r="G80" s="471">
        <v>1469.63</v>
      </c>
      <c r="H80" s="469">
        <f t="shared" si="1"/>
        <v>99.974829931972792</v>
      </c>
    </row>
    <row r="81" spans="1:8" ht="22.5">
      <c r="A81" s="605"/>
      <c r="B81" s="605"/>
      <c r="C81" s="445">
        <v>440</v>
      </c>
      <c r="D81" s="445">
        <v>0</v>
      </c>
      <c r="E81" s="452" t="s">
        <v>427</v>
      </c>
      <c r="F81" s="471">
        <v>1210</v>
      </c>
      <c r="G81" s="471">
        <v>1209.8399999999999</v>
      </c>
      <c r="H81" s="469">
        <f t="shared" si="1"/>
        <v>99.986776859504118</v>
      </c>
    </row>
    <row r="82" spans="1:8">
      <c r="A82" s="605"/>
      <c r="B82" s="605"/>
      <c r="C82" s="445">
        <v>441</v>
      </c>
      <c r="D82" s="445">
        <v>0</v>
      </c>
      <c r="E82" s="451" t="s">
        <v>416</v>
      </c>
      <c r="F82" s="471">
        <v>3541</v>
      </c>
      <c r="G82" s="471">
        <v>3540.47</v>
      </c>
      <c r="H82" s="469">
        <f t="shared" si="1"/>
        <v>99.985032476701491</v>
      </c>
    </row>
    <row r="83" spans="1:8">
      <c r="A83" s="605"/>
      <c r="B83" s="605"/>
      <c r="C83" s="445">
        <v>443</v>
      </c>
      <c r="D83" s="445">
        <v>0</v>
      </c>
      <c r="E83" s="451" t="s">
        <v>429</v>
      </c>
      <c r="F83" s="471">
        <v>1472</v>
      </c>
      <c r="G83" s="471">
        <v>1472</v>
      </c>
      <c r="H83" s="469">
        <f t="shared" si="1"/>
        <v>100</v>
      </c>
    </row>
    <row r="84" spans="1:8">
      <c r="A84" s="605"/>
      <c r="B84" s="605"/>
      <c r="C84" s="445">
        <v>444</v>
      </c>
      <c r="D84" s="445">
        <v>0</v>
      </c>
      <c r="E84" s="451" t="s">
        <v>417</v>
      </c>
      <c r="F84" s="471">
        <v>4650</v>
      </c>
      <c r="G84" s="471">
        <v>4649.2</v>
      </c>
      <c r="H84" s="469">
        <f t="shared" si="1"/>
        <v>99.982795698924733</v>
      </c>
    </row>
    <row r="85" spans="1:8">
      <c r="A85" s="605"/>
      <c r="B85" s="605"/>
      <c r="C85" s="445">
        <v>448</v>
      </c>
      <c r="D85" s="445">
        <v>0</v>
      </c>
      <c r="E85" s="452" t="s">
        <v>418</v>
      </c>
      <c r="F85" s="471">
        <v>249</v>
      </c>
      <c r="G85" s="471">
        <v>249</v>
      </c>
      <c r="H85" s="469">
        <f t="shared" si="1"/>
        <v>100</v>
      </c>
    </row>
    <row r="86" spans="1:8">
      <c r="A86" s="441">
        <v>750</v>
      </c>
      <c r="B86" s="441"/>
      <c r="C86" s="442"/>
      <c r="D86" s="442"/>
      <c r="E86" s="458" t="s">
        <v>29</v>
      </c>
      <c r="F86" s="470">
        <f>F87+F91+F95+F124+F131+F150</f>
        <v>6813906.29</v>
      </c>
      <c r="G86" s="470">
        <f>G87+G91+G95+G124+G131+G150</f>
        <v>6555659.2599999998</v>
      </c>
      <c r="H86" s="468">
        <f t="shared" si="1"/>
        <v>96.210000269903915</v>
      </c>
    </row>
    <row r="87" spans="1:8">
      <c r="A87" s="612"/>
      <c r="B87" s="434">
        <v>75011</v>
      </c>
      <c r="C87" s="445"/>
      <c r="D87" s="445"/>
      <c r="E87" s="459" t="s">
        <v>73</v>
      </c>
      <c r="F87" s="471">
        <f>SUM(F88:F90)</f>
        <v>105200</v>
      </c>
      <c r="G87" s="471">
        <f>SUM(G88:G90)</f>
        <v>105200</v>
      </c>
      <c r="H87" s="469">
        <f t="shared" si="1"/>
        <v>100</v>
      </c>
    </row>
    <row r="88" spans="1:8">
      <c r="A88" s="613"/>
      <c r="B88" s="605"/>
      <c r="C88" s="445">
        <v>401</v>
      </c>
      <c r="D88" s="445">
        <v>0</v>
      </c>
      <c r="E88" s="451" t="s">
        <v>405</v>
      </c>
      <c r="F88" s="471">
        <v>89500</v>
      </c>
      <c r="G88" s="471">
        <v>89500</v>
      </c>
      <c r="H88" s="469">
        <f t="shared" si="1"/>
        <v>100</v>
      </c>
    </row>
    <row r="89" spans="1:8">
      <c r="A89" s="613"/>
      <c r="B89" s="605"/>
      <c r="C89" s="445">
        <v>411</v>
      </c>
      <c r="D89" s="445">
        <v>0</v>
      </c>
      <c r="E89" s="451" t="s">
        <v>407</v>
      </c>
      <c r="F89" s="471">
        <v>13510</v>
      </c>
      <c r="G89" s="471">
        <v>13510</v>
      </c>
      <c r="H89" s="469">
        <f t="shared" si="1"/>
        <v>100</v>
      </c>
    </row>
    <row r="90" spans="1:8">
      <c r="A90" s="613"/>
      <c r="B90" s="605"/>
      <c r="C90" s="445">
        <v>412</v>
      </c>
      <c r="D90" s="445">
        <v>0</v>
      </c>
      <c r="E90" s="451" t="s">
        <v>408</v>
      </c>
      <c r="F90" s="471">
        <v>2190</v>
      </c>
      <c r="G90" s="471">
        <v>2190</v>
      </c>
      <c r="H90" s="469">
        <f t="shared" si="1"/>
        <v>100</v>
      </c>
    </row>
    <row r="91" spans="1:8">
      <c r="A91" s="613"/>
      <c r="B91" s="434">
        <v>75019</v>
      </c>
      <c r="C91" s="445"/>
      <c r="D91" s="445"/>
      <c r="E91" s="435" t="s">
        <v>103</v>
      </c>
      <c r="F91" s="471">
        <f>SUM(F92:F94)</f>
        <v>209598.61</v>
      </c>
      <c r="G91" s="471">
        <f>SUM(G92:G94)</f>
        <v>208970.99000000002</v>
      </c>
      <c r="H91" s="469">
        <f t="shared" si="1"/>
        <v>99.70056099131574</v>
      </c>
    </row>
    <row r="92" spans="1:8">
      <c r="A92" s="613"/>
      <c r="B92" s="605"/>
      <c r="C92" s="445">
        <v>303</v>
      </c>
      <c r="D92" s="445">
        <v>0</v>
      </c>
      <c r="E92" s="451" t="s">
        <v>400</v>
      </c>
      <c r="F92" s="471">
        <v>194532</v>
      </c>
      <c r="G92" s="471">
        <v>194272.42</v>
      </c>
      <c r="H92" s="469">
        <f t="shared" si="1"/>
        <v>99.866561799601101</v>
      </c>
    </row>
    <row r="93" spans="1:8">
      <c r="A93" s="613"/>
      <c r="B93" s="605"/>
      <c r="C93" s="445">
        <v>421</v>
      </c>
      <c r="D93" s="445">
        <v>0</v>
      </c>
      <c r="E93" s="451" t="s">
        <v>401</v>
      </c>
      <c r="F93" s="471">
        <v>11238.12</v>
      </c>
      <c r="G93" s="471">
        <v>11190.57</v>
      </c>
      <c r="H93" s="469">
        <f t="shared" si="1"/>
        <v>99.576886525504264</v>
      </c>
    </row>
    <row r="94" spans="1:8">
      <c r="A94" s="613"/>
      <c r="B94" s="605"/>
      <c r="C94" s="445">
        <v>430</v>
      </c>
      <c r="D94" s="445">
        <v>0</v>
      </c>
      <c r="E94" s="451" t="s">
        <v>398</v>
      </c>
      <c r="F94" s="471">
        <v>3828.49</v>
      </c>
      <c r="G94" s="471">
        <v>3508</v>
      </c>
      <c r="H94" s="469">
        <f t="shared" si="1"/>
        <v>91.62881449344259</v>
      </c>
    </row>
    <row r="95" spans="1:8">
      <c r="A95" s="613"/>
      <c r="B95" s="434">
        <v>75020</v>
      </c>
      <c r="C95" s="445"/>
      <c r="D95" s="445"/>
      <c r="E95" s="435" t="s">
        <v>74</v>
      </c>
      <c r="F95" s="471">
        <f>SUM(F96:F123)</f>
        <v>5951000.3799999999</v>
      </c>
      <c r="G95" s="471">
        <f>SUM(G96:G123)</f>
        <v>5774619.0099999988</v>
      </c>
      <c r="H95" s="469">
        <f t="shared" si="1"/>
        <v>97.03610554970254</v>
      </c>
    </row>
    <row r="96" spans="1:8">
      <c r="A96" s="613"/>
      <c r="B96" s="605"/>
      <c r="C96" s="445">
        <v>302</v>
      </c>
      <c r="D96" s="445">
        <v>0</v>
      </c>
      <c r="E96" s="451" t="s">
        <v>404</v>
      </c>
      <c r="F96" s="471">
        <v>10000</v>
      </c>
      <c r="G96" s="471">
        <v>8067.77</v>
      </c>
      <c r="H96" s="469">
        <f t="shared" si="1"/>
        <v>80.677700000000002</v>
      </c>
    </row>
    <row r="97" spans="1:8">
      <c r="A97" s="613"/>
      <c r="B97" s="605"/>
      <c r="C97" s="445">
        <v>401</v>
      </c>
      <c r="D97" s="445">
        <v>0</v>
      </c>
      <c r="E97" s="451" t="s">
        <v>405</v>
      </c>
      <c r="F97" s="471">
        <v>3028543</v>
      </c>
      <c r="G97" s="471">
        <v>2954403.71</v>
      </c>
      <c r="H97" s="469">
        <f t="shared" si="1"/>
        <v>97.55198159643102</v>
      </c>
    </row>
    <row r="98" spans="1:8">
      <c r="A98" s="613"/>
      <c r="B98" s="605"/>
      <c r="C98" s="445">
        <v>404</v>
      </c>
      <c r="D98" s="445">
        <v>0</v>
      </c>
      <c r="E98" s="451" t="s">
        <v>406</v>
      </c>
      <c r="F98" s="471">
        <v>204881.88</v>
      </c>
      <c r="G98" s="471">
        <v>204881.88</v>
      </c>
      <c r="H98" s="469">
        <f t="shared" si="1"/>
        <v>100</v>
      </c>
    </row>
    <row r="99" spans="1:8">
      <c r="A99" s="613"/>
      <c r="B99" s="605"/>
      <c r="C99" s="445">
        <v>411</v>
      </c>
      <c r="D99" s="445">
        <v>0</v>
      </c>
      <c r="E99" s="451" t="s">
        <v>407</v>
      </c>
      <c r="F99" s="471">
        <v>440000</v>
      </c>
      <c r="G99" s="471">
        <v>432249.48</v>
      </c>
      <c r="H99" s="469">
        <f t="shared" si="1"/>
        <v>98.238518181818179</v>
      </c>
    </row>
    <row r="100" spans="1:8">
      <c r="A100" s="613"/>
      <c r="B100" s="605"/>
      <c r="C100" s="445">
        <v>412</v>
      </c>
      <c r="D100" s="445">
        <v>0</v>
      </c>
      <c r="E100" s="451" t="s">
        <v>408</v>
      </c>
      <c r="F100" s="471">
        <v>59500</v>
      </c>
      <c r="G100" s="471">
        <v>57386.76</v>
      </c>
      <c r="H100" s="469">
        <f t="shared" si="1"/>
        <v>96.448336134453783</v>
      </c>
    </row>
    <row r="101" spans="1:8" ht="22.5">
      <c r="A101" s="613"/>
      <c r="B101" s="605"/>
      <c r="C101" s="445">
        <v>414</v>
      </c>
      <c r="D101" s="445">
        <v>0</v>
      </c>
      <c r="E101" s="454" t="s">
        <v>430</v>
      </c>
      <c r="F101" s="471">
        <v>8000</v>
      </c>
      <c r="G101" s="471">
        <v>5233</v>
      </c>
      <c r="H101" s="469">
        <f t="shared" si="1"/>
        <v>65.412499999999994</v>
      </c>
    </row>
    <row r="102" spans="1:8">
      <c r="A102" s="613"/>
      <c r="B102" s="605"/>
      <c r="C102" s="445">
        <v>417</v>
      </c>
      <c r="D102" s="445">
        <v>0</v>
      </c>
      <c r="E102" s="451" t="s">
        <v>409</v>
      </c>
      <c r="F102" s="471">
        <v>80000</v>
      </c>
      <c r="G102" s="471">
        <v>72144.42</v>
      </c>
      <c r="H102" s="469">
        <f t="shared" si="1"/>
        <v>90.180525000000003</v>
      </c>
    </row>
    <row r="103" spans="1:8">
      <c r="A103" s="613"/>
      <c r="B103" s="605"/>
      <c r="C103" s="445">
        <v>421</v>
      </c>
      <c r="D103" s="445">
        <v>0</v>
      </c>
      <c r="E103" s="451" t="s">
        <v>401</v>
      </c>
      <c r="F103" s="471">
        <v>510440</v>
      </c>
      <c r="G103" s="471">
        <v>507218.54</v>
      </c>
      <c r="H103" s="469">
        <f t="shared" si="1"/>
        <v>99.368885667267449</v>
      </c>
    </row>
    <row r="104" spans="1:8">
      <c r="A104" s="613"/>
      <c r="B104" s="605"/>
      <c r="C104" s="445">
        <v>424</v>
      </c>
      <c r="D104" s="445">
        <v>0</v>
      </c>
      <c r="E104" s="451" t="s">
        <v>431</v>
      </c>
      <c r="F104" s="471">
        <v>7560.09</v>
      </c>
      <c r="G104" s="471">
        <v>7285.33</v>
      </c>
      <c r="H104" s="469">
        <f t="shared" si="1"/>
        <v>96.36565173165927</v>
      </c>
    </row>
    <row r="105" spans="1:8">
      <c r="A105" s="613"/>
      <c r="B105" s="605"/>
      <c r="C105" s="445">
        <v>426</v>
      </c>
      <c r="D105" s="445">
        <v>0</v>
      </c>
      <c r="E105" s="451" t="s">
        <v>410</v>
      </c>
      <c r="F105" s="471">
        <v>367000</v>
      </c>
      <c r="G105" s="471">
        <v>363783</v>
      </c>
      <c r="H105" s="469">
        <f t="shared" si="1"/>
        <v>99.123433242506806</v>
      </c>
    </row>
    <row r="106" spans="1:8">
      <c r="A106" s="613"/>
      <c r="B106" s="605"/>
      <c r="C106" s="445">
        <v>427</v>
      </c>
      <c r="D106" s="445">
        <v>0</v>
      </c>
      <c r="E106" s="451" t="s">
        <v>411</v>
      </c>
      <c r="F106" s="471">
        <v>123000.29</v>
      </c>
      <c r="G106" s="471">
        <v>115262.11</v>
      </c>
      <c r="H106" s="469">
        <f t="shared" si="1"/>
        <v>93.70881158085075</v>
      </c>
    </row>
    <row r="107" spans="1:8">
      <c r="A107" s="613"/>
      <c r="B107" s="605"/>
      <c r="C107" s="445">
        <v>428</v>
      </c>
      <c r="D107" s="445">
        <v>0</v>
      </c>
      <c r="E107" s="451" t="s">
        <v>412</v>
      </c>
      <c r="F107" s="471">
        <v>3000</v>
      </c>
      <c r="G107" s="471">
        <v>1750</v>
      </c>
      <c r="H107" s="469">
        <f t="shared" si="1"/>
        <v>58.333333333333336</v>
      </c>
    </row>
    <row r="108" spans="1:8">
      <c r="A108" s="613"/>
      <c r="B108" s="605"/>
      <c r="C108" s="445">
        <v>430</v>
      </c>
      <c r="D108" s="445">
        <v>0</v>
      </c>
      <c r="E108" s="451" t="s">
        <v>398</v>
      </c>
      <c r="F108" s="471">
        <v>419954.53</v>
      </c>
      <c r="G108" s="471">
        <v>365143.27</v>
      </c>
      <c r="H108" s="469">
        <f t="shared" si="1"/>
        <v>86.948286996689845</v>
      </c>
    </row>
    <row r="109" spans="1:8">
      <c r="A109" s="613"/>
      <c r="B109" s="605"/>
      <c r="C109" s="445">
        <v>435</v>
      </c>
      <c r="D109" s="445">
        <v>0</v>
      </c>
      <c r="E109" s="451" t="s">
        <v>413</v>
      </c>
      <c r="F109" s="471">
        <v>16100</v>
      </c>
      <c r="G109" s="471">
        <v>15945.52</v>
      </c>
      <c r="H109" s="469">
        <f t="shared" si="1"/>
        <v>99.040496894409941</v>
      </c>
    </row>
    <row r="110" spans="1:8" ht="22.5">
      <c r="A110" s="613"/>
      <c r="B110" s="605"/>
      <c r="C110" s="445">
        <v>436</v>
      </c>
      <c r="D110" s="445">
        <v>0</v>
      </c>
      <c r="E110" s="452" t="s">
        <v>414</v>
      </c>
      <c r="F110" s="471">
        <v>11500</v>
      </c>
      <c r="G110" s="471">
        <v>10631.14</v>
      </c>
      <c r="H110" s="469">
        <f t="shared" si="1"/>
        <v>92.444695652173905</v>
      </c>
    </row>
    <row r="111" spans="1:8" ht="22.5">
      <c r="A111" s="613"/>
      <c r="B111" s="605"/>
      <c r="C111" s="445">
        <v>437</v>
      </c>
      <c r="D111" s="445">
        <v>0</v>
      </c>
      <c r="E111" s="452" t="s">
        <v>415</v>
      </c>
      <c r="F111" s="471">
        <v>8500</v>
      </c>
      <c r="G111" s="471">
        <v>8115.19</v>
      </c>
      <c r="H111" s="469">
        <f t="shared" si="1"/>
        <v>95.47282352941177</v>
      </c>
    </row>
    <row r="112" spans="1:8">
      <c r="A112" s="613"/>
      <c r="B112" s="605"/>
      <c r="C112" s="445">
        <v>438</v>
      </c>
      <c r="D112" s="445">
        <v>0</v>
      </c>
      <c r="E112" s="451" t="s">
        <v>432</v>
      </c>
      <c r="F112" s="471">
        <v>4000</v>
      </c>
      <c r="G112" s="471">
        <v>2375</v>
      </c>
      <c r="H112" s="469">
        <f t="shared" si="1"/>
        <v>59.375</v>
      </c>
    </row>
    <row r="113" spans="1:8" ht="22.5">
      <c r="A113" s="613"/>
      <c r="B113" s="605"/>
      <c r="C113" s="445">
        <v>440</v>
      </c>
      <c r="D113" s="445">
        <v>0</v>
      </c>
      <c r="E113" s="452" t="s">
        <v>427</v>
      </c>
      <c r="F113" s="471">
        <v>2039.91</v>
      </c>
      <c r="G113" s="471">
        <v>2039.91</v>
      </c>
      <c r="H113" s="469">
        <f t="shared" si="1"/>
        <v>100</v>
      </c>
    </row>
    <row r="114" spans="1:8">
      <c r="A114" s="613"/>
      <c r="B114" s="605"/>
      <c r="C114" s="445">
        <v>441</v>
      </c>
      <c r="D114" s="445">
        <v>0</v>
      </c>
      <c r="E114" s="451" t="s">
        <v>416</v>
      </c>
      <c r="F114" s="471">
        <v>53000</v>
      </c>
      <c r="G114" s="471">
        <v>51797.01</v>
      </c>
      <c r="H114" s="469">
        <f t="shared" si="1"/>
        <v>97.730207547169812</v>
      </c>
    </row>
    <row r="115" spans="1:8">
      <c r="A115" s="613"/>
      <c r="B115" s="605"/>
      <c r="C115" s="445">
        <v>442</v>
      </c>
      <c r="D115" s="445">
        <v>0</v>
      </c>
      <c r="E115" s="451" t="s">
        <v>433</v>
      </c>
      <c r="F115" s="471">
        <v>6231.87</v>
      </c>
      <c r="G115" s="471">
        <v>5150.84</v>
      </c>
      <c r="H115" s="469">
        <f t="shared" si="1"/>
        <v>82.653200403731148</v>
      </c>
    </row>
    <row r="116" spans="1:8">
      <c r="A116" s="613"/>
      <c r="B116" s="605"/>
      <c r="C116" s="445">
        <v>444</v>
      </c>
      <c r="D116" s="445">
        <v>0</v>
      </c>
      <c r="E116" s="451" t="s">
        <v>417</v>
      </c>
      <c r="F116" s="471">
        <v>89211.8</v>
      </c>
      <c r="G116" s="471">
        <v>89211.8</v>
      </c>
      <c r="H116" s="469">
        <f t="shared" si="1"/>
        <v>100</v>
      </c>
    </row>
    <row r="117" spans="1:8">
      <c r="A117" s="613"/>
      <c r="B117" s="605"/>
      <c r="C117" s="445">
        <v>453</v>
      </c>
      <c r="D117" s="445">
        <v>0</v>
      </c>
      <c r="E117" s="451" t="s">
        <v>402</v>
      </c>
      <c r="F117" s="471">
        <v>3500</v>
      </c>
      <c r="G117" s="471">
        <v>3200.89</v>
      </c>
      <c r="H117" s="469">
        <f t="shared" si="1"/>
        <v>91.453999999999994</v>
      </c>
    </row>
    <row r="118" spans="1:8">
      <c r="A118" s="613"/>
      <c r="B118" s="605"/>
      <c r="C118" s="445">
        <v>459</v>
      </c>
      <c r="D118" s="445">
        <v>0</v>
      </c>
      <c r="E118" s="452" t="s">
        <v>434</v>
      </c>
      <c r="F118" s="471">
        <v>12865.47</v>
      </c>
      <c r="G118" s="471">
        <v>9647.5499999999993</v>
      </c>
      <c r="H118" s="469">
        <f t="shared" si="1"/>
        <v>74.987932815513147</v>
      </c>
    </row>
    <row r="119" spans="1:8" ht="22.5">
      <c r="A119" s="613"/>
      <c r="B119" s="605"/>
      <c r="C119" s="445">
        <v>460</v>
      </c>
      <c r="D119" s="445">
        <v>0</v>
      </c>
      <c r="E119" s="452" t="s">
        <v>435</v>
      </c>
      <c r="F119" s="471">
        <v>116471.84</v>
      </c>
      <c r="G119" s="471">
        <v>116471.84</v>
      </c>
      <c r="H119" s="469">
        <f t="shared" si="1"/>
        <v>100</v>
      </c>
    </row>
    <row r="120" spans="1:8">
      <c r="A120" s="613"/>
      <c r="B120" s="605"/>
      <c r="C120" s="445">
        <v>461</v>
      </c>
      <c r="D120" s="445">
        <v>0</v>
      </c>
      <c r="E120" s="451" t="s">
        <v>421</v>
      </c>
      <c r="F120" s="471">
        <v>6302.07</v>
      </c>
      <c r="G120" s="471">
        <v>5985.07</v>
      </c>
      <c r="H120" s="469">
        <f t="shared" si="1"/>
        <v>94.969906713191065</v>
      </c>
    </row>
    <row r="121" spans="1:8" ht="22.5">
      <c r="A121" s="613"/>
      <c r="B121" s="605"/>
      <c r="C121" s="445">
        <v>470</v>
      </c>
      <c r="D121" s="445">
        <v>0</v>
      </c>
      <c r="E121" s="452" t="s">
        <v>422</v>
      </c>
      <c r="F121" s="471">
        <v>37934.589999999997</v>
      </c>
      <c r="G121" s="471">
        <v>37775.03</v>
      </c>
      <c r="H121" s="469">
        <f t="shared" si="1"/>
        <v>99.579381245454357</v>
      </c>
    </row>
    <row r="122" spans="1:8">
      <c r="A122" s="613"/>
      <c r="B122" s="605"/>
      <c r="C122" s="445">
        <v>605</v>
      </c>
      <c r="D122" s="445">
        <v>0</v>
      </c>
      <c r="E122" s="452" t="s">
        <v>423</v>
      </c>
      <c r="F122" s="471">
        <v>304600</v>
      </c>
      <c r="G122" s="471">
        <v>304599.90999999997</v>
      </c>
      <c r="H122" s="469">
        <f t="shared" si="1"/>
        <v>99.99997045305318</v>
      </c>
    </row>
    <row r="123" spans="1:8">
      <c r="A123" s="613"/>
      <c r="B123" s="605"/>
      <c r="C123" s="445">
        <v>606</v>
      </c>
      <c r="D123" s="445">
        <v>0</v>
      </c>
      <c r="E123" s="454" t="s">
        <v>424</v>
      </c>
      <c r="F123" s="471">
        <v>16863.04</v>
      </c>
      <c r="G123" s="471">
        <v>16863.04</v>
      </c>
      <c r="H123" s="469">
        <f t="shared" si="1"/>
        <v>100</v>
      </c>
    </row>
    <row r="124" spans="1:8">
      <c r="A124" s="613"/>
      <c r="B124" s="434">
        <v>75045</v>
      </c>
      <c r="C124" s="445"/>
      <c r="D124" s="445"/>
      <c r="E124" s="435" t="s">
        <v>287</v>
      </c>
      <c r="F124" s="471">
        <f>SUM(F125:F130)</f>
        <v>18806</v>
      </c>
      <c r="G124" s="471">
        <f>SUM(G125:G130)</f>
        <v>18805.66</v>
      </c>
      <c r="H124" s="469">
        <f t="shared" si="1"/>
        <v>99.998192066361796</v>
      </c>
    </row>
    <row r="125" spans="1:8">
      <c r="A125" s="613"/>
      <c r="B125" s="605"/>
      <c r="C125" s="445">
        <v>411</v>
      </c>
      <c r="D125" s="445">
        <v>0</v>
      </c>
      <c r="E125" s="451" t="s">
        <v>407</v>
      </c>
      <c r="F125" s="471">
        <v>483.06</v>
      </c>
      <c r="G125" s="471">
        <v>483.06</v>
      </c>
      <c r="H125" s="469">
        <f t="shared" si="1"/>
        <v>100</v>
      </c>
    </row>
    <row r="126" spans="1:8">
      <c r="A126" s="613"/>
      <c r="B126" s="605"/>
      <c r="C126" s="445">
        <v>412</v>
      </c>
      <c r="D126" s="445">
        <v>0</v>
      </c>
      <c r="E126" s="451" t="s">
        <v>408</v>
      </c>
      <c r="F126" s="471">
        <v>51.96</v>
      </c>
      <c r="G126" s="471">
        <v>51.96</v>
      </c>
      <c r="H126" s="469">
        <f t="shared" si="1"/>
        <v>100</v>
      </c>
    </row>
    <row r="127" spans="1:8">
      <c r="A127" s="613"/>
      <c r="B127" s="605"/>
      <c r="C127" s="445">
        <v>417</v>
      </c>
      <c r="D127" s="445">
        <v>0</v>
      </c>
      <c r="E127" s="451" t="s">
        <v>409</v>
      </c>
      <c r="F127" s="471">
        <v>14090</v>
      </c>
      <c r="G127" s="471">
        <v>14090</v>
      </c>
      <c r="H127" s="469">
        <f t="shared" si="1"/>
        <v>100</v>
      </c>
    </row>
    <row r="128" spans="1:8">
      <c r="A128" s="613"/>
      <c r="B128" s="605"/>
      <c r="C128" s="445">
        <v>421</v>
      </c>
      <c r="D128" s="445">
        <v>0</v>
      </c>
      <c r="E128" s="451" t="s">
        <v>401</v>
      </c>
      <c r="F128" s="471">
        <v>1032.24</v>
      </c>
      <c r="G128" s="471">
        <v>1032.24</v>
      </c>
      <c r="H128" s="469">
        <f t="shared" si="1"/>
        <v>100</v>
      </c>
    </row>
    <row r="129" spans="1:8">
      <c r="A129" s="613"/>
      <c r="B129" s="605"/>
      <c r="C129" s="445">
        <v>430</v>
      </c>
      <c r="D129" s="445">
        <v>0</v>
      </c>
      <c r="E129" s="451" t="s">
        <v>398</v>
      </c>
      <c r="F129" s="471">
        <v>648.74</v>
      </c>
      <c r="G129" s="471">
        <v>648.4</v>
      </c>
      <c r="H129" s="469">
        <f t="shared" si="1"/>
        <v>99.947590714307736</v>
      </c>
    </row>
    <row r="130" spans="1:8" ht="22.5">
      <c r="A130" s="613"/>
      <c r="B130" s="605"/>
      <c r="C130" s="445">
        <v>440</v>
      </c>
      <c r="D130" s="445">
        <v>0</v>
      </c>
      <c r="E130" s="452" t="s">
        <v>427</v>
      </c>
      <c r="F130" s="471">
        <v>2500</v>
      </c>
      <c r="G130" s="471">
        <v>2500</v>
      </c>
      <c r="H130" s="469">
        <f t="shared" si="1"/>
        <v>100</v>
      </c>
    </row>
    <row r="131" spans="1:8">
      <c r="A131" s="613"/>
      <c r="B131" s="434">
        <v>75075</v>
      </c>
      <c r="C131" s="445"/>
      <c r="D131" s="445"/>
      <c r="E131" s="435" t="s">
        <v>436</v>
      </c>
      <c r="F131" s="471">
        <f>SUM(F132:F149)</f>
        <v>223000</v>
      </c>
      <c r="G131" s="471">
        <f>SUM(G132:G149)</f>
        <v>197438.65999999997</v>
      </c>
      <c r="H131" s="469">
        <f t="shared" si="1"/>
        <v>88.537515695067242</v>
      </c>
    </row>
    <row r="132" spans="1:8">
      <c r="A132" s="613"/>
      <c r="B132" s="612"/>
      <c r="C132" s="445">
        <v>411</v>
      </c>
      <c r="D132" s="445">
        <v>0</v>
      </c>
      <c r="E132" s="451" t="s">
        <v>407</v>
      </c>
      <c r="F132" s="471">
        <v>240</v>
      </c>
      <c r="G132" s="471">
        <v>240</v>
      </c>
      <c r="H132" s="469">
        <f t="shared" si="1"/>
        <v>100</v>
      </c>
    </row>
    <row r="133" spans="1:8">
      <c r="A133" s="613"/>
      <c r="B133" s="613"/>
      <c r="C133" s="445">
        <v>411</v>
      </c>
      <c r="D133" s="445">
        <v>7</v>
      </c>
      <c r="E133" s="451" t="s">
        <v>407</v>
      </c>
      <c r="F133" s="471">
        <v>123.96</v>
      </c>
      <c r="G133" s="471">
        <v>123.96</v>
      </c>
      <c r="H133" s="469">
        <f t="shared" si="1"/>
        <v>100</v>
      </c>
    </row>
    <row r="134" spans="1:8">
      <c r="A134" s="613"/>
      <c r="B134" s="613"/>
      <c r="C134" s="445">
        <v>411</v>
      </c>
      <c r="D134" s="445">
        <v>9</v>
      </c>
      <c r="E134" s="451" t="s">
        <v>407</v>
      </c>
      <c r="F134" s="471">
        <v>21.87</v>
      </c>
      <c r="G134" s="471">
        <v>21.87</v>
      </c>
      <c r="H134" s="469">
        <f t="shared" si="1"/>
        <v>100</v>
      </c>
    </row>
    <row r="135" spans="1:8">
      <c r="A135" s="613"/>
      <c r="B135" s="613"/>
      <c r="C135" s="445">
        <v>412</v>
      </c>
      <c r="D135" s="445">
        <v>0</v>
      </c>
      <c r="E135" s="451" t="s">
        <v>408</v>
      </c>
      <c r="F135" s="471">
        <v>38.71</v>
      </c>
      <c r="G135" s="471">
        <v>38.71</v>
      </c>
      <c r="H135" s="469">
        <f t="shared" si="1"/>
        <v>100</v>
      </c>
    </row>
    <row r="136" spans="1:8">
      <c r="A136" s="613"/>
      <c r="B136" s="613"/>
      <c r="C136" s="445">
        <v>412</v>
      </c>
      <c r="D136" s="445">
        <v>7</v>
      </c>
      <c r="E136" s="451" t="s">
        <v>408</v>
      </c>
      <c r="F136" s="471">
        <v>19.989999999999998</v>
      </c>
      <c r="G136" s="471">
        <v>19.989999999999998</v>
      </c>
      <c r="H136" s="469">
        <f t="shared" si="1"/>
        <v>100</v>
      </c>
    </row>
    <row r="137" spans="1:8">
      <c r="A137" s="613"/>
      <c r="B137" s="613"/>
      <c r="C137" s="445">
        <v>412</v>
      </c>
      <c r="D137" s="445">
        <v>9</v>
      </c>
      <c r="E137" s="451" t="s">
        <v>408</v>
      </c>
      <c r="F137" s="471">
        <v>3.53</v>
      </c>
      <c r="G137" s="471">
        <v>3.53</v>
      </c>
      <c r="H137" s="469">
        <f t="shared" ref="H137:H204" si="2">G137/F137*100</f>
        <v>100</v>
      </c>
    </row>
    <row r="138" spans="1:8">
      <c r="A138" s="613"/>
      <c r="B138" s="613"/>
      <c r="C138" s="445">
        <v>417</v>
      </c>
      <c r="D138" s="445">
        <v>0</v>
      </c>
      <c r="E138" s="451" t="s">
        <v>409</v>
      </c>
      <c r="F138" s="471">
        <v>12023.2</v>
      </c>
      <c r="G138" s="471">
        <v>9680.32</v>
      </c>
      <c r="H138" s="469">
        <f t="shared" si="2"/>
        <v>80.513673564442072</v>
      </c>
    </row>
    <row r="139" spans="1:8">
      <c r="A139" s="613"/>
      <c r="B139" s="613"/>
      <c r="C139" s="445">
        <v>417</v>
      </c>
      <c r="D139" s="445">
        <v>7</v>
      </c>
      <c r="E139" s="451" t="s">
        <v>409</v>
      </c>
      <c r="F139" s="471">
        <v>2176</v>
      </c>
      <c r="G139" s="471">
        <v>2176</v>
      </c>
      <c r="H139" s="469">
        <f t="shared" si="2"/>
        <v>100</v>
      </c>
    </row>
    <row r="140" spans="1:8">
      <c r="A140" s="613"/>
      <c r="B140" s="613"/>
      <c r="C140" s="445">
        <v>417</v>
      </c>
      <c r="D140" s="445">
        <v>9</v>
      </c>
      <c r="E140" s="451" t="s">
        <v>409</v>
      </c>
      <c r="F140" s="471">
        <v>384</v>
      </c>
      <c r="G140" s="471">
        <v>384</v>
      </c>
      <c r="H140" s="469">
        <f t="shared" si="2"/>
        <v>100</v>
      </c>
    </row>
    <row r="141" spans="1:8">
      <c r="A141" s="613"/>
      <c r="B141" s="613"/>
      <c r="C141" s="445">
        <v>421</v>
      </c>
      <c r="D141" s="445">
        <v>0</v>
      </c>
      <c r="E141" s="451" t="s">
        <v>401</v>
      </c>
      <c r="F141" s="471">
        <v>44662.6</v>
      </c>
      <c r="G141" s="471">
        <v>23334.799999999999</v>
      </c>
      <c r="H141" s="469">
        <f t="shared" si="2"/>
        <v>52.246846354668108</v>
      </c>
    </row>
    <row r="142" spans="1:8">
      <c r="A142" s="613"/>
      <c r="B142" s="613"/>
      <c r="C142" s="445">
        <v>421</v>
      </c>
      <c r="D142" s="445">
        <v>7</v>
      </c>
      <c r="E142" s="451" t="s">
        <v>401</v>
      </c>
      <c r="F142" s="471">
        <v>1934.86</v>
      </c>
      <c r="G142" s="471">
        <v>1934.86</v>
      </c>
      <c r="H142" s="469">
        <f t="shared" si="2"/>
        <v>100</v>
      </c>
    </row>
    <row r="143" spans="1:8">
      <c r="A143" s="613"/>
      <c r="B143" s="613"/>
      <c r="C143" s="445">
        <v>421</v>
      </c>
      <c r="D143" s="445">
        <v>9</v>
      </c>
      <c r="E143" s="451" t="s">
        <v>401</v>
      </c>
      <c r="F143" s="471">
        <v>341.44</v>
      </c>
      <c r="G143" s="471">
        <v>341.44</v>
      </c>
      <c r="H143" s="469">
        <f t="shared" si="2"/>
        <v>100</v>
      </c>
    </row>
    <row r="144" spans="1:8">
      <c r="A144" s="613"/>
      <c r="B144" s="613"/>
      <c r="C144" s="445">
        <v>426</v>
      </c>
      <c r="D144" s="445">
        <v>0</v>
      </c>
      <c r="E144" s="451" t="s">
        <v>410</v>
      </c>
      <c r="F144" s="471">
        <v>150.47999999999999</v>
      </c>
      <c r="G144" s="471">
        <v>150.47999999999999</v>
      </c>
      <c r="H144" s="469">
        <f t="shared" si="2"/>
        <v>100</v>
      </c>
    </row>
    <row r="145" spans="1:8">
      <c r="A145" s="613"/>
      <c r="B145" s="613"/>
      <c r="C145" s="445">
        <v>427</v>
      </c>
      <c r="D145" s="445">
        <v>0</v>
      </c>
      <c r="E145" s="451" t="s">
        <v>411</v>
      </c>
      <c r="F145" s="471">
        <v>14575.5</v>
      </c>
      <c r="G145" s="471">
        <v>14575.5</v>
      </c>
      <c r="H145" s="469">
        <f t="shared" si="2"/>
        <v>100</v>
      </c>
    </row>
    <row r="146" spans="1:8">
      <c r="A146" s="613"/>
      <c r="B146" s="613"/>
      <c r="C146" s="445">
        <v>430</v>
      </c>
      <c r="D146" s="445">
        <v>0</v>
      </c>
      <c r="E146" s="451" t="s">
        <v>398</v>
      </c>
      <c r="F146" s="471">
        <v>119660.56</v>
      </c>
      <c r="G146" s="471">
        <v>118069.9</v>
      </c>
      <c r="H146" s="469">
        <f t="shared" si="2"/>
        <v>98.670689824617227</v>
      </c>
    </row>
    <row r="147" spans="1:8">
      <c r="A147" s="613"/>
      <c r="B147" s="613"/>
      <c r="C147" s="445">
        <v>430</v>
      </c>
      <c r="D147" s="445">
        <v>7</v>
      </c>
      <c r="E147" s="451" t="s">
        <v>398</v>
      </c>
      <c r="F147" s="471">
        <v>22302.560000000001</v>
      </c>
      <c r="G147" s="471">
        <v>22302.560000000001</v>
      </c>
      <c r="H147" s="469">
        <f t="shared" si="2"/>
        <v>100</v>
      </c>
    </row>
    <row r="148" spans="1:8">
      <c r="A148" s="613"/>
      <c r="B148" s="613"/>
      <c r="C148" s="445">
        <v>430</v>
      </c>
      <c r="D148" s="445">
        <v>9</v>
      </c>
      <c r="E148" s="451" t="s">
        <v>398</v>
      </c>
      <c r="F148" s="471">
        <v>3935.74</v>
      </c>
      <c r="G148" s="471">
        <v>3935.74</v>
      </c>
      <c r="H148" s="469">
        <f t="shared" si="2"/>
        <v>100</v>
      </c>
    </row>
    <row r="149" spans="1:8">
      <c r="A149" s="613"/>
      <c r="B149" s="614"/>
      <c r="C149" s="445">
        <v>438</v>
      </c>
      <c r="D149" s="445">
        <v>0</v>
      </c>
      <c r="E149" s="452" t="s">
        <v>432</v>
      </c>
      <c r="F149" s="471">
        <v>405</v>
      </c>
      <c r="G149" s="471">
        <v>105</v>
      </c>
      <c r="H149" s="469">
        <f t="shared" si="2"/>
        <v>25.925925925925924</v>
      </c>
    </row>
    <row r="150" spans="1:8">
      <c r="A150" s="613"/>
      <c r="B150" s="434">
        <v>75095</v>
      </c>
      <c r="C150" s="445"/>
      <c r="D150" s="445"/>
      <c r="E150" s="435" t="s">
        <v>72</v>
      </c>
      <c r="F150" s="471">
        <f>SUM(F151:F154)</f>
        <v>306301.3</v>
      </c>
      <c r="G150" s="471">
        <f>SUM(G151:G154)</f>
        <v>250624.94</v>
      </c>
      <c r="H150" s="469">
        <f t="shared" si="2"/>
        <v>81.82300891311921</v>
      </c>
    </row>
    <row r="151" spans="1:8">
      <c r="A151" s="613"/>
      <c r="B151" s="612"/>
      <c r="C151" s="445">
        <v>443</v>
      </c>
      <c r="D151" s="445">
        <v>0</v>
      </c>
      <c r="E151" s="451" t="s">
        <v>429</v>
      </c>
      <c r="F151" s="471">
        <v>256929.98</v>
      </c>
      <c r="G151" s="471">
        <v>244755.98</v>
      </c>
      <c r="H151" s="469">
        <f t="shared" si="2"/>
        <v>95.261744075175656</v>
      </c>
    </row>
    <row r="152" spans="1:8">
      <c r="A152" s="613"/>
      <c r="B152" s="613"/>
      <c r="C152" s="445">
        <v>453</v>
      </c>
      <c r="D152" s="445">
        <v>0</v>
      </c>
      <c r="E152" s="451" t="s">
        <v>402</v>
      </c>
      <c r="F152" s="471">
        <v>400</v>
      </c>
      <c r="G152" s="471">
        <v>261.77999999999997</v>
      </c>
      <c r="H152" s="469">
        <f t="shared" si="2"/>
        <v>65.444999999999993</v>
      </c>
    </row>
    <row r="153" spans="1:8">
      <c r="A153" s="613"/>
      <c r="B153" s="613"/>
      <c r="C153" s="445">
        <v>461</v>
      </c>
      <c r="D153" s="445">
        <v>0</v>
      </c>
      <c r="E153" s="451" t="s">
        <v>421</v>
      </c>
      <c r="F153" s="471">
        <v>14800</v>
      </c>
      <c r="G153" s="471">
        <v>5607.18</v>
      </c>
      <c r="H153" s="469">
        <f t="shared" si="2"/>
        <v>37.886351351351358</v>
      </c>
    </row>
    <row r="154" spans="1:8">
      <c r="A154" s="614"/>
      <c r="B154" s="614"/>
      <c r="C154" s="445">
        <v>481</v>
      </c>
      <c r="D154" s="445">
        <v>0</v>
      </c>
      <c r="E154" s="451" t="s">
        <v>437</v>
      </c>
      <c r="F154" s="471">
        <v>34171.32</v>
      </c>
      <c r="G154" s="471">
        <v>0</v>
      </c>
      <c r="H154" s="469">
        <f t="shared" si="2"/>
        <v>0</v>
      </c>
    </row>
    <row r="155" spans="1:8" ht="13.5" customHeight="1">
      <c r="A155" s="441">
        <v>754</v>
      </c>
      <c r="B155" s="441"/>
      <c r="C155" s="442"/>
      <c r="D155" s="442"/>
      <c r="E155" s="458" t="s">
        <v>30</v>
      </c>
      <c r="F155" s="470">
        <f>F156+F158+F160+F189</f>
        <v>3279843</v>
      </c>
      <c r="G155" s="470">
        <f>G156+G158+G160+G189</f>
        <v>3172793.7100000004</v>
      </c>
      <c r="H155" s="468">
        <f t="shared" si="2"/>
        <v>96.736145906983978</v>
      </c>
    </row>
    <row r="156" spans="1:8">
      <c r="A156" s="605"/>
      <c r="B156" s="434">
        <v>75405</v>
      </c>
      <c r="C156" s="445"/>
      <c r="D156" s="445"/>
      <c r="E156" s="457" t="s">
        <v>351</v>
      </c>
      <c r="F156" s="471">
        <f>F157</f>
        <v>15000</v>
      </c>
      <c r="G156" s="471">
        <f>G157</f>
        <v>15000</v>
      </c>
      <c r="H156" s="469">
        <f t="shared" si="2"/>
        <v>100</v>
      </c>
    </row>
    <row r="157" spans="1:8">
      <c r="A157" s="605"/>
      <c r="B157" s="434"/>
      <c r="C157" s="445">
        <v>300</v>
      </c>
      <c r="D157" s="445">
        <v>0</v>
      </c>
      <c r="E157" s="454" t="s">
        <v>438</v>
      </c>
      <c r="F157" s="471">
        <v>15000</v>
      </c>
      <c r="G157" s="471">
        <v>15000</v>
      </c>
      <c r="H157" s="469">
        <f t="shared" si="2"/>
        <v>100</v>
      </c>
    </row>
    <row r="158" spans="1:8">
      <c r="A158" s="605"/>
      <c r="B158" s="434">
        <v>75406</v>
      </c>
      <c r="C158" s="445"/>
      <c r="D158" s="445"/>
      <c r="E158" s="457" t="s">
        <v>196</v>
      </c>
      <c r="F158" s="471">
        <f>F159</f>
        <v>5000</v>
      </c>
      <c r="G158" s="471">
        <f>G159</f>
        <v>4999.96</v>
      </c>
      <c r="H158" s="469">
        <f t="shared" si="2"/>
        <v>99.999200000000002</v>
      </c>
    </row>
    <row r="159" spans="1:8">
      <c r="A159" s="605"/>
      <c r="B159" s="434"/>
      <c r="C159" s="445">
        <v>300</v>
      </c>
      <c r="D159" s="445">
        <v>0</v>
      </c>
      <c r="E159" s="454" t="s">
        <v>438</v>
      </c>
      <c r="F159" s="471">
        <v>5000</v>
      </c>
      <c r="G159" s="471">
        <v>4999.96</v>
      </c>
      <c r="H159" s="469">
        <f t="shared" si="2"/>
        <v>99.999200000000002</v>
      </c>
    </row>
    <row r="160" spans="1:8">
      <c r="A160" s="605"/>
      <c r="B160" s="434">
        <v>75411</v>
      </c>
      <c r="C160" s="445"/>
      <c r="D160" s="445"/>
      <c r="E160" s="457" t="s">
        <v>106</v>
      </c>
      <c r="F160" s="471">
        <f>SUM(F161:F188)</f>
        <v>3130943</v>
      </c>
      <c r="G160" s="471">
        <f>SUM(G161:G188)</f>
        <v>3130933.2100000004</v>
      </c>
      <c r="H160" s="469">
        <f t="shared" si="2"/>
        <v>99.99968731465249</v>
      </c>
    </row>
    <row r="161" spans="1:8" ht="22.5">
      <c r="A161" s="605"/>
      <c r="B161" s="605"/>
      <c r="C161" s="445">
        <v>307</v>
      </c>
      <c r="D161" s="445">
        <v>0</v>
      </c>
      <c r="E161" s="452" t="s">
        <v>439</v>
      </c>
      <c r="F161" s="471">
        <v>171896</v>
      </c>
      <c r="G161" s="471">
        <v>171895.23</v>
      </c>
      <c r="H161" s="469">
        <f t="shared" si="2"/>
        <v>99.999552054730785</v>
      </c>
    </row>
    <row r="162" spans="1:8">
      <c r="A162" s="605"/>
      <c r="B162" s="605"/>
      <c r="C162" s="445">
        <v>402</v>
      </c>
      <c r="D162" s="445">
        <v>0</v>
      </c>
      <c r="E162" s="452" t="s">
        <v>428</v>
      </c>
      <c r="F162" s="471">
        <v>67670</v>
      </c>
      <c r="G162" s="471">
        <v>67670</v>
      </c>
      <c r="H162" s="469">
        <f t="shared" si="2"/>
        <v>100</v>
      </c>
    </row>
    <row r="163" spans="1:8">
      <c r="A163" s="605"/>
      <c r="B163" s="605"/>
      <c r="C163" s="445">
        <v>404</v>
      </c>
      <c r="D163" s="445">
        <v>0</v>
      </c>
      <c r="E163" s="451" t="s">
        <v>406</v>
      </c>
      <c r="F163" s="471">
        <v>5525</v>
      </c>
      <c r="G163" s="471">
        <v>5524.7</v>
      </c>
      <c r="H163" s="469">
        <f t="shared" si="2"/>
        <v>99.994570135746613</v>
      </c>
    </row>
    <row r="164" spans="1:8" ht="22.5">
      <c r="A164" s="605"/>
      <c r="B164" s="605"/>
      <c r="C164" s="445">
        <v>405</v>
      </c>
      <c r="D164" s="445">
        <v>0</v>
      </c>
      <c r="E164" s="452" t="s">
        <v>440</v>
      </c>
      <c r="F164" s="471">
        <v>1913102</v>
      </c>
      <c r="G164" s="471">
        <v>1913102</v>
      </c>
      <c r="H164" s="469">
        <f t="shared" si="2"/>
        <v>100</v>
      </c>
    </row>
    <row r="165" spans="1:8" ht="22.5">
      <c r="A165" s="605"/>
      <c r="B165" s="605"/>
      <c r="C165" s="445">
        <v>406</v>
      </c>
      <c r="D165" s="445">
        <v>0</v>
      </c>
      <c r="E165" s="452" t="s">
        <v>441</v>
      </c>
      <c r="F165" s="471">
        <v>289964</v>
      </c>
      <c r="G165" s="471">
        <v>289963.56</v>
      </c>
      <c r="H165" s="469">
        <f t="shared" si="2"/>
        <v>99.999848257025008</v>
      </c>
    </row>
    <row r="166" spans="1:8" ht="23.25" customHeight="1">
      <c r="A166" s="605"/>
      <c r="B166" s="605"/>
      <c r="C166" s="445">
        <v>407</v>
      </c>
      <c r="D166" s="445">
        <v>0</v>
      </c>
      <c r="E166" s="457" t="s">
        <v>442</v>
      </c>
      <c r="F166" s="471">
        <v>150902</v>
      </c>
      <c r="G166" s="471">
        <v>150901.25</v>
      </c>
      <c r="H166" s="469">
        <f t="shared" si="2"/>
        <v>99.999502988694644</v>
      </c>
    </row>
    <row r="167" spans="1:8">
      <c r="A167" s="605"/>
      <c r="B167" s="605"/>
      <c r="C167" s="445">
        <v>411</v>
      </c>
      <c r="D167" s="445">
        <v>0</v>
      </c>
      <c r="E167" s="451" t="s">
        <v>407</v>
      </c>
      <c r="F167" s="471">
        <v>12764</v>
      </c>
      <c r="G167" s="471">
        <v>12763.82</v>
      </c>
      <c r="H167" s="469">
        <f t="shared" si="2"/>
        <v>99.998589783766846</v>
      </c>
    </row>
    <row r="168" spans="1:8">
      <c r="A168" s="605"/>
      <c r="B168" s="605"/>
      <c r="C168" s="445">
        <v>412</v>
      </c>
      <c r="D168" s="445">
        <v>0</v>
      </c>
      <c r="E168" s="451" t="s">
        <v>408</v>
      </c>
      <c r="F168" s="471">
        <v>1964</v>
      </c>
      <c r="G168" s="471">
        <v>1963.05</v>
      </c>
      <c r="H168" s="469">
        <f t="shared" si="2"/>
        <v>99.951629327902239</v>
      </c>
    </row>
    <row r="169" spans="1:8">
      <c r="A169" s="605"/>
      <c r="B169" s="605"/>
      <c r="C169" s="445">
        <v>417</v>
      </c>
      <c r="D169" s="445">
        <v>0</v>
      </c>
      <c r="E169" s="451" t="s">
        <v>409</v>
      </c>
      <c r="F169" s="471">
        <v>8316</v>
      </c>
      <c r="G169" s="471">
        <v>8316</v>
      </c>
      <c r="H169" s="469">
        <f t="shared" si="2"/>
        <v>100</v>
      </c>
    </row>
    <row r="170" spans="1:8" ht="22.5">
      <c r="A170" s="605"/>
      <c r="B170" s="605"/>
      <c r="C170" s="445">
        <v>418</v>
      </c>
      <c r="D170" s="445">
        <v>0</v>
      </c>
      <c r="E170" s="452" t="s">
        <v>443</v>
      </c>
      <c r="F170" s="471">
        <v>79972</v>
      </c>
      <c r="G170" s="471">
        <v>79971.72</v>
      </c>
      <c r="H170" s="469">
        <f t="shared" si="2"/>
        <v>99.999649877457102</v>
      </c>
    </row>
    <row r="171" spans="1:8">
      <c r="A171" s="605"/>
      <c r="B171" s="605"/>
      <c r="C171" s="445">
        <v>421</v>
      </c>
      <c r="D171" s="445">
        <v>0</v>
      </c>
      <c r="E171" s="451" t="s">
        <v>401</v>
      </c>
      <c r="F171" s="471">
        <v>238640</v>
      </c>
      <c r="G171" s="471">
        <v>238639.02</v>
      </c>
      <c r="H171" s="469">
        <f t="shared" si="2"/>
        <v>99.999589339591012</v>
      </c>
    </row>
    <row r="172" spans="1:8" ht="12.75" customHeight="1">
      <c r="A172" s="605"/>
      <c r="B172" s="605"/>
      <c r="C172" s="445">
        <v>423</v>
      </c>
      <c r="D172" s="445">
        <v>0</v>
      </c>
      <c r="E172" s="454" t="s">
        <v>444</v>
      </c>
      <c r="F172" s="471">
        <v>2632</v>
      </c>
      <c r="G172" s="471">
        <v>2631.99</v>
      </c>
      <c r="H172" s="469">
        <f t="shared" si="2"/>
        <v>99.999620060790264</v>
      </c>
    </row>
    <row r="173" spans="1:8">
      <c r="A173" s="605"/>
      <c r="B173" s="605"/>
      <c r="C173" s="445">
        <v>424</v>
      </c>
      <c r="D173" s="445">
        <v>0</v>
      </c>
      <c r="E173" s="452" t="s">
        <v>431</v>
      </c>
      <c r="F173" s="471">
        <v>2055</v>
      </c>
      <c r="G173" s="471">
        <v>2054.37</v>
      </c>
      <c r="H173" s="469">
        <f t="shared" si="2"/>
        <v>99.969343065693423</v>
      </c>
    </row>
    <row r="174" spans="1:8">
      <c r="A174" s="605"/>
      <c r="B174" s="605"/>
      <c r="C174" s="445">
        <v>425</v>
      </c>
      <c r="D174" s="445">
        <v>0</v>
      </c>
      <c r="E174" s="454" t="s">
        <v>445</v>
      </c>
      <c r="F174" s="471">
        <v>13154</v>
      </c>
      <c r="G174" s="471">
        <v>13153.63</v>
      </c>
      <c r="H174" s="469">
        <f t="shared" si="2"/>
        <v>99.997187167401549</v>
      </c>
    </row>
    <row r="175" spans="1:8">
      <c r="A175" s="605"/>
      <c r="B175" s="605"/>
      <c r="C175" s="445">
        <v>426</v>
      </c>
      <c r="D175" s="445">
        <v>0</v>
      </c>
      <c r="E175" s="451" t="s">
        <v>410</v>
      </c>
      <c r="F175" s="471">
        <v>46779</v>
      </c>
      <c r="G175" s="471">
        <v>46778.97</v>
      </c>
      <c r="H175" s="469">
        <f t="shared" si="2"/>
        <v>99.999935868659023</v>
      </c>
    </row>
    <row r="176" spans="1:8">
      <c r="A176" s="605"/>
      <c r="B176" s="605"/>
      <c r="C176" s="445">
        <v>427</v>
      </c>
      <c r="D176" s="445">
        <v>0</v>
      </c>
      <c r="E176" s="451" t="s">
        <v>411</v>
      </c>
      <c r="F176" s="471">
        <v>31435</v>
      </c>
      <c r="G176" s="471">
        <v>31434.33</v>
      </c>
      <c r="H176" s="469">
        <f t="shared" si="2"/>
        <v>99.997868617782743</v>
      </c>
    </row>
    <row r="177" spans="1:8">
      <c r="A177" s="605"/>
      <c r="B177" s="605"/>
      <c r="C177" s="445">
        <v>428</v>
      </c>
      <c r="D177" s="445">
        <v>0</v>
      </c>
      <c r="E177" s="451" t="s">
        <v>412</v>
      </c>
      <c r="F177" s="471">
        <v>11359</v>
      </c>
      <c r="G177" s="471">
        <v>11358.61</v>
      </c>
      <c r="H177" s="469">
        <f t="shared" si="2"/>
        <v>99.996566599172468</v>
      </c>
    </row>
    <row r="178" spans="1:8">
      <c r="A178" s="605"/>
      <c r="B178" s="605"/>
      <c r="C178" s="445">
        <v>430</v>
      </c>
      <c r="D178" s="445">
        <v>0</v>
      </c>
      <c r="E178" s="451" t="s">
        <v>398</v>
      </c>
      <c r="F178" s="471">
        <v>52327</v>
      </c>
      <c r="G178" s="471">
        <v>52326.48</v>
      </c>
      <c r="H178" s="469">
        <f t="shared" si="2"/>
        <v>99.999006249163912</v>
      </c>
    </row>
    <row r="179" spans="1:8">
      <c r="A179" s="605"/>
      <c r="B179" s="605"/>
      <c r="C179" s="445">
        <v>435</v>
      </c>
      <c r="D179" s="445">
        <v>0</v>
      </c>
      <c r="E179" s="451" t="s">
        <v>413</v>
      </c>
      <c r="F179" s="471">
        <v>1930</v>
      </c>
      <c r="G179" s="471">
        <v>1929.75</v>
      </c>
      <c r="H179" s="469">
        <f t="shared" si="2"/>
        <v>99.987046632124361</v>
      </c>
    </row>
    <row r="180" spans="1:8" ht="22.5">
      <c r="A180" s="605"/>
      <c r="B180" s="605"/>
      <c r="C180" s="445">
        <v>436</v>
      </c>
      <c r="D180" s="445">
        <v>0</v>
      </c>
      <c r="E180" s="452" t="s">
        <v>414</v>
      </c>
      <c r="F180" s="471">
        <v>5485</v>
      </c>
      <c r="G180" s="471">
        <v>5484.67</v>
      </c>
      <c r="H180" s="469">
        <f t="shared" si="2"/>
        <v>99.993983591613485</v>
      </c>
    </row>
    <row r="181" spans="1:8" ht="22.5">
      <c r="A181" s="605"/>
      <c r="B181" s="605"/>
      <c r="C181" s="445">
        <v>437</v>
      </c>
      <c r="D181" s="445">
        <v>0</v>
      </c>
      <c r="E181" s="452" t="s">
        <v>415</v>
      </c>
      <c r="F181" s="471">
        <v>3990</v>
      </c>
      <c r="G181" s="471">
        <v>3989.06</v>
      </c>
      <c r="H181" s="469">
        <f t="shared" si="2"/>
        <v>99.97644110275688</v>
      </c>
    </row>
    <row r="182" spans="1:8">
      <c r="A182" s="605"/>
      <c r="B182" s="605"/>
      <c r="C182" s="445">
        <v>441</v>
      </c>
      <c r="D182" s="445">
        <v>0</v>
      </c>
      <c r="E182" s="451" t="s">
        <v>416</v>
      </c>
      <c r="F182" s="471">
        <v>4268</v>
      </c>
      <c r="G182" s="471">
        <v>4267.8100000000004</v>
      </c>
      <c r="H182" s="469">
        <f t="shared" si="2"/>
        <v>99.995548266166836</v>
      </c>
    </row>
    <row r="183" spans="1:8">
      <c r="A183" s="605"/>
      <c r="B183" s="605"/>
      <c r="C183" s="445">
        <v>443</v>
      </c>
      <c r="D183" s="445">
        <v>0</v>
      </c>
      <c r="E183" s="451" t="s">
        <v>429</v>
      </c>
      <c r="F183" s="471">
        <v>1383</v>
      </c>
      <c r="G183" s="471">
        <v>1383</v>
      </c>
      <c r="H183" s="469">
        <f t="shared" si="2"/>
        <v>100</v>
      </c>
    </row>
    <row r="184" spans="1:8">
      <c r="A184" s="605"/>
      <c r="B184" s="605"/>
      <c r="C184" s="445">
        <v>444</v>
      </c>
      <c r="D184" s="445">
        <v>0</v>
      </c>
      <c r="E184" s="451" t="s">
        <v>417</v>
      </c>
      <c r="F184" s="471">
        <v>2188</v>
      </c>
      <c r="G184" s="471">
        <v>2187.86</v>
      </c>
      <c r="H184" s="469">
        <f t="shared" si="2"/>
        <v>99.993601462522861</v>
      </c>
    </row>
    <row r="185" spans="1:8">
      <c r="A185" s="605"/>
      <c r="B185" s="605"/>
      <c r="C185" s="445">
        <v>448</v>
      </c>
      <c r="D185" s="445">
        <v>0</v>
      </c>
      <c r="E185" s="451" t="s">
        <v>418</v>
      </c>
      <c r="F185" s="471">
        <v>8999</v>
      </c>
      <c r="G185" s="471">
        <v>8999</v>
      </c>
      <c r="H185" s="469">
        <f t="shared" si="2"/>
        <v>100</v>
      </c>
    </row>
    <row r="186" spans="1:8">
      <c r="A186" s="605"/>
      <c r="B186" s="605"/>
      <c r="C186" s="445">
        <v>450</v>
      </c>
      <c r="D186" s="445">
        <v>0</v>
      </c>
      <c r="E186" s="451" t="s">
        <v>446</v>
      </c>
      <c r="F186" s="471">
        <v>898</v>
      </c>
      <c r="G186" s="471">
        <v>898</v>
      </c>
      <c r="H186" s="469">
        <f t="shared" si="2"/>
        <v>100</v>
      </c>
    </row>
    <row r="187" spans="1:8">
      <c r="A187" s="605"/>
      <c r="B187" s="605"/>
      <c r="C187" s="445">
        <v>451</v>
      </c>
      <c r="D187" s="445">
        <v>0</v>
      </c>
      <c r="E187" s="451" t="s">
        <v>419</v>
      </c>
      <c r="F187" s="471">
        <v>146</v>
      </c>
      <c r="G187" s="471">
        <v>145.33000000000001</v>
      </c>
      <c r="H187" s="469">
        <f t="shared" si="2"/>
        <v>99.541095890410972</v>
      </c>
    </row>
    <row r="188" spans="1:8">
      <c r="A188" s="605"/>
      <c r="B188" s="605"/>
      <c r="C188" s="445">
        <v>461</v>
      </c>
      <c r="D188" s="445">
        <v>0</v>
      </c>
      <c r="E188" s="451" t="s">
        <v>421</v>
      </c>
      <c r="F188" s="471">
        <v>1200</v>
      </c>
      <c r="G188" s="471">
        <v>1200</v>
      </c>
      <c r="H188" s="469">
        <f t="shared" si="2"/>
        <v>100</v>
      </c>
    </row>
    <row r="189" spans="1:8">
      <c r="A189" s="605"/>
      <c r="B189" s="434">
        <v>75421</v>
      </c>
      <c r="C189" s="445"/>
      <c r="D189" s="445"/>
      <c r="E189" s="457" t="s">
        <v>163</v>
      </c>
      <c r="F189" s="471">
        <f>SUM(F190:F193)</f>
        <v>128900</v>
      </c>
      <c r="G189" s="471">
        <f>SUM(G190:G193)</f>
        <v>21860.54</v>
      </c>
      <c r="H189" s="469">
        <f t="shared" si="2"/>
        <v>16.959301784328936</v>
      </c>
    </row>
    <row r="190" spans="1:8">
      <c r="A190" s="605"/>
      <c r="B190" s="605"/>
      <c r="C190" s="445">
        <v>421</v>
      </c>
      <c r="D190" s="445">
        <v>0</v>
      </c>
      <c r="E190" s="451" t="s">
        <v>401</v>
      </c>
      <c r="F190" s="471">
        <v>12870</v>
      </c>
      <c r="G190" s="471">
        <v>12598.69</v>
      </c>
      <c r="H190" s="469">
        <f t="shared" si="2"/>
        <v>97.8919191919192</v>
      </c>
    </row>
    <row r="191" spans="1:8">
      <c r="A191" s="605"/>
      <c r="B191" s="605"/>
      <c r="C191" s="445">
        <v>427</v>
      </c>
      <c r="D191" s="445">
        <v>0</v>
      </c>
      <c r="E191" s="451" t="s">
        <v>411</v>
      </c>
      <c r="F191" s="471">
        <v>8268.15</v>
      </c>
      <c r="G191" s="471">
        <v>8200</v>
      </c>
      <c r="H191" s="469">
        <f t="shared" si="2"/>
        <v>99.175752737915985</v>
      </c>
    </row>
    <row r="192" spans="1:8">
      <c r="A192" s="605"/>
      <c r="B192" s="605"/>
      <c r="C192" s="445">
        <v>430</v>
      </c>
      <c r="D192" s="445">
        <v>0</v>
      </c>
      <c r="E192" s="451" t="s">
        <v>398</v>
      </c>
      <c r="F192" s="471">
        <v>1061.8499999999999</v>
      </c>
      <c r="G192" s="471">
        <v>1061.8499999999999</v>
      </c>
      <c r="H192" s="469">
        <f t="shared" si="2"/>
        <v>100</v>
      </c>
    </row>
    <row r="193" spans="1:8">
      <c r="A193" s="605"/>
      <c r="B193" s="605"/>
      <c r="C193" s="445">
        <v>481</v>
      </c>
      <c r="D193" s="445">
        <v>0</v>
      </c>
      <c r="E193" s="452" t="s">
        <v>437</v>
      </c>
      <c r="F193" s="471">
        <v>106700</v>
      </c>
      <c r="G193" s="471">
        <v>0</v>
      </c>
      <c r="H193" s="469">
        <f t="shared" si="2"/>
        <v>0</v>
      </c>
    </row>
    <row r="194" spans="1:8">
      <c r="A194" s="441">
        <v>757</v>
      </c>
      <c r="B194" s="441"/>
      <c r="C194" s="442"/>
      <c r="D194" s="442"/>
      <c r="E194" s="458" t="s">
        <v>107</v>
      </c>
      <c r="F194" s="470">
        <f>F195</f>
        <v>943000</v>
      </c>
      <c r="G194" s="470">
        <f>G195</f>
        <v>917930.66</v>
      </c>
      <c r="H194" s="468">
        <f t="shared" si="2"/>
        <v>97.341533404029704</v>
      </c>
    </row>
    <row r="195" spans="1:8">
      <c r="A195" s="605"/>
      <c r="B195" s="434">
        <v>75702</v>
      </c>
      <c r="C195" s="445"/>
      <c r="D195" s="445"/>
      <c r="E195" s="457" t="s">
        <v>143</v>
      </c>
      <c r="F195" s="471">
        <f>SUM(F196:F197)</f>
        <v>943000</v>
      </c>
      <c r="G195" s="471">
        <f>SUM(G196:G197)</f>
        <v>917930.66</v>
      </c>
      <c r="H195" s="469">
        <f t="shared" si="2"/>
        <v>97.341533404029704</v>
      </c>
    </row>
    <row r="196" spans="1:8">
      <c r="A196" s="605"/>
      <c r="B196" s="605"/>
      <c r="C196" s="445">
        <v>801</v>
      </c>
      <c r="D196" s="445">
        <v>0</v>
      </c>
      <c r="E196" s="457" t="s">
        <v>447</v>
      </c>
      <c r="F196" s="471">
        <v>1500</v>
      </c>
      <c r="G196" s="471">
        <v>1500</v>
      </c>
      <c r="H196" s="469">
        <f t="shared" si="2"/>
        <v>100</v>
      </c>
    </row>
    <row r="197" spans="1:8" ht="35.25" customHeight="1">
      <c r="A197" s="605"/>
      <c r="B197" s="605"/>
      <c r="C197" s="445">
        <v>807</v>
      </c>
      <c r="D197" s="445">
        <v>0</v>
      </c>
      <c r="E197" s="452" t="s">
        <v>448</v>
      </c>
      <c r="F197" s="471">
        <v>941500</v>
      </c>
      <c r="G197" s="471">
        <v>916430.66</v>
      </c>
      <c r="H197" s="469">
        <f t="shared" si="2"/>
        <v>97.337297928836961</v>
      </c>
    </row>
    <row r="198" spans="1:8">
      <c r="A198" s="441">
        <v>758</v>
      </c>
      <c r="B198" s="441"/>
      <c r="C198" s="442"/>
      <c r="D198" s="442"/>
      <c r="E198" s="460" t="s">
        <v>31</v>
      </c>
      <c r="F198" s="470">
        <f>F199</f>
        <v>11957.14</v>
      </c>
      <c r="G198" s="470">
        <f>G199</f>
        <v>0</v>
      </c>
      <c r="H198" s="469">
        <f t="shared" si="2"/>
        <v>0</v>
      </c>
    </row>
    <row r="199" spans="1:8">
      <c r="A199" s="612"/>
      <c r="B199" s="434">
        <v>75818</v>
      </c>
      <c r="C199" s="445"/>
      <c r="D199" s="445"/>
      <c r="E199" s="452" t="s">
        <v>389</v>
      </c>
      <c r="F199" s="471">
        <f>F200</f>
        <v>11957.14</v>
      </c>
      <c r="G199" s="471">
        <f>G200</f>
        <v>0</v>
      </c>
      <c r="H199" s="469">
        <f t="shared" si="2"/>
        <v>0</v>
      </c>
    </row>
    <row r="200" spans="1:8">
      <c r="A200" s="614"/>
      <c r="B200" s="434"/>
      <c r="C200" s="445">
        <v>481</v>
      </c>
      <c r="D200" s="445">
        <v>0</v>
      </c>
      <c r="E200" s="452" t="s">
        <v>437</v>
      </c>
      <c r="F200" s="471">
        <v>11957.14</v>
      </c>
      <c r="G200" s="471">
        <v>0</v>
      </c>
      <c r="H200" s="469">
        <f t="shared" si="2"/>
        <v>0</v>
      </c>
    </row>
    <row r="201" spans="1:8">
      <c r="A201" s="441">
        <v>801</v>
      </c>
      <c r="B201" s="441"/>
      <c r="C201" s="442"/>
      <c r="D201" s="442"/>
      <c r="E201" s="458" t="s">
        <v>52</v>
      </c>
      <c r="F201" s="470">
        <f>F202+F223+F237+F264+F266+F297+F312+F319+F326+F336</f>
        <v>15883555.969999999</v>
      </c>
      <c r="G201" s="470">
        <f>G202+G223+G237+G264+G266+G297+G312+G319+G326+G336</f>
        <v>15682257.550000001</v>
      </c>
      <c r="H201" s="468">
        <f t="shared" si="2"/>
        <v>98.732661499854316</v>
      </c>
    </row>
    <row r="202" spans="1:8">
      <c r="A202" s="605"/>
      <c r="B202" s="434">
        <v>80102</v>
      </c>
      <c r="C202" s="445"/>
      <c r="D202" s="445"/>
      <c r="E202" s="457" t="s">
        <v>39</v>
      </c>
      <c r="F202" s="471">
        <f>SUM(F203:F222)</f>
        <v>1479900.34</v>
      </c>
      <c r="G202" s="471">
        <f>SUM(G203:G222)</f>
        <v>1479899.07</v>
      </c>
      <c r="H202" s="469">
        <f t="shared" si="2"/>
        <v>99.999914183410482</v>
      </c>
    </row>
    <row r="203" spans="1:8">
      <c r="A203" s="605"/>
      <c r="B203" s="605"/>
      <c r="C203" s="445">
        <v>302</v>
      </c>
      <c r="D203" s="445">
        <v>0</v>
      </c>
      <c r="E203" s="451" t="s">
        <v>404</v>
      </c>
      <c r="F203" s="471">
        <v>2750</v>
      </c>
      <c r="G203" s="471">
        <v>2750</v>
      </c>
      <c r="H203" s="469">
        <f t="shared" si="2"/>
        <v>100</v>
      </c>
    </row>
    <row r="204" spans="1:8">
      <c r="A204" s="605"/>
      <c r="B204" s="605"/>
      <c r="C204" s="445">
        <v>401</v>
      </c>
      <c r="D204" s="445">
        <v>0</v>
      </c>
      <c r="E204" s="451" t="s">
        <v>405</v>
      </c>
      <c r="F204" s="471">
        <v>820193.26</v>
      </c>
      <c r="G204" s="471">
        <v>820193.26</v>
      </c>
      <c r="H204" s="469">
        <f t="shared" si="2"/>
        <v>100</v>
      </c>
    </row>
    <row r="205" spans="1:8">
      <c r="A205" s="605"/>
      <c r="B205" s="605"/>
      <c r="C205" s="445">
        <v>404</v>
      </c>
      <c r="D205" s="445">
        <v>0</v>
      </c>
      <c r="E205" s="451" t="s">
        <v>406</v>
      </c>
      <c r="F205" s="471">
        <v>49600.02</v>
      </c>
      <c r="G205" s="471">
        <v>49600.02</v>
      </c>
      <c r="H205" s="469">
        <f t="shared" ref="H205:H268" si="3">G205/F205*100</f>
        <v>100</v>
      </c>
    </row>
    <row r="206" spans="1:8">
      <c r="A206" s="605"/>
      <c r="B206" s="605"/>
      <c r="C206" s="445">
        <v>411</v>
      </c>
      <c r="D206" s="445">
        <v>0</v>
      </c>
      <c r="E206" s="451" t="s">
        <v>407</v>
      </c>
      <c r="F206" s="471">
        <v>122933.39</v>
      </c>
      <c r="G206" s="471">
        <v>122933.39</v>
      </c>
      <c r="H206" s="469">
        <f t="shared" si="3"/>
        <v>100</v>
      </c>
    </row>
    <row r="207" spans="1:8">
      <c r="A207" s="605"/>
      <c r="B207" s="605"/>
      <c r="C207" s="445">
        <v>412</v>
      </c>
      <c r="D207" s="445">
        <v>0</v>
      </c>
      <c r="E207" s="451" t="s">
        <v>408</v>
      </c>
      <c r="F207" s="471">
        <v>19264.37</v>
      </c>
      <c r="G207" s="471">
        <v>19264.37</v>
      </c>
      <c r="H207" s="469">
        <f t="shared" si="3"/>
        <v>100</v>
      </c>
    </row>
    <row r="208" spans="1:8">
      <c r="A208" s="605"/>
      <c r="B208" s="605"/>
      <c r="C208" s="445">
        <v>417</v>
      </c>
      <c r="D208" s="445">
        <v>0</v>
      </c>
      <c r="E208" s="451" t="s">
        <v>409</v>
      </c>
      <c r="F208" s="471">
        <v>4156.6000000000004</v>
      </c>
      <c r="G208" s="471">
        <v>4156.6000000000004</v>
      </c>
      <c r="H208" s="469">
        <f t="shared" si="3"/>
        <v>100</v>
      </c>
    </row>
    <row r="209" spans="1:8">
      <c r="A209" s="605"/>
      <c r="B209" s="605"/>
      <c r="C209" s="445">
        <v>421</v>
      </c>
      <c r="D209" s="445">
        <v>0</v>
      </c>
      <c r="E209" s="451" t="s">
        <v>401</v>
      </c>
      <c r="F209" s="471">
        <v>38098.15</v>
      </c>
      <c r="G209" s="471">
        <v>38098.15</v>
      </c>
      <c r="H209" s="469">
        <f t="shared" si="3"/>
        <v>100</v>
      </c>
    </row>
    <row r="210" spans="1:8">
      <c r="A210" s="605"/>
      <c r="B210" s="605"/>
      <c r="C210" s="445">
        <v>424</v>
      </c>
      <c r="D210" s="445">
        <v>0</v>
      </c>
      <c r="E210" s="451" t="s">
        <v>431</v>
      </c>
      <c r="F210" s="471">
        <v>559.54999999999995</v>
      </c>
      <c r="G210" s="471">
        <v>559.54999999999995</v>
      </c>
      <c r="H210" s="469">
        <f t="shared" si="3"/>
        <v>100</v>
      </c>
    </row>
    <row r="211" spans="1:8">
      <c r="A211" s="605"/>
      <c r="B211" s="605"/>
      <c r="C211" s="445">
        <v>426</v>
      </c>
      <c r="D211" s="445">
        <v>0</v>
      </c>
      <c r="E211" s="451" t="s">
        <v>410</v>
      </c>
      <c r="F211" s="471">
        <v>69956.39</v>
      </c>
      <c r="G211" s="471">
        <v>69956.39</v>
      </c>
      <c r="H211" s="469">
        <f t="shared" si="3"/>
        <v>100</v>
      </c>
    </row>
    <row r="212" spans="1:8">
      <c r="A212" s="605"/>
      <c r="B212" s="605"/>
      <c r="C212" s="445">
        <v>427</v>
      </c>
      <c r="D212" s="445">
        <v>0</v>
      </c>
      <c r="E212" s="451" t="s">
        <v>411</v>
      </c>
      <c r="F212" s="471">
        <v>31314.87</v>
      </c>
      <c r="G212" s="471">
        <v>31314.87</v>
      </c>
      <c r="H212" s="469">
        <f t="shared" si="3"/>
        <v>100</v>
      </c>
    </row>
    <row r="213" spans="1:8">
      <c r="A213" s="605"/>
      <c r="B213" s="605"/>
      <c r="C213" s="445">
        <v>428</v>
      </c>
      <c r="D213" s="445">
        <v>0</v>
      </c>
      <c r="E213" s="451" t="s">
        <v>412</v>
      </c>
      <c r="F213" s="471">
        <v>1718</v>
      </c>
      <c r="G213" s="471">
        <v>1718</v>
      </c>
      <c r="H213" s="469">
        <f t="shared" si="3"/>
        <v>100</v>
      </c>
    </row>
    <row r="214" spans="1:8">
      <c r="A214" s="605"/>
      <c r="B214" s="605"/>
      <c r="C214" s="445">
        <v>430</v>
      </c>
      <c r="D214" s="445">
        <v>0</v>
      </c>
      <c r="E214" s="451" t="s">
        <v>398</v>
      </c>
      <c r="F214" s="471">
        <v>22545.09</v>
      </c>
      <c r="G214" s="471">
        <v>22545.09</v>
      </c>
      <c r="H214" s="469">
        <f t="shared" si="3"/>
        <v>100</v>
      </c>
    </row>
    <row r="215" spans="1:8">
      <c r="A215" s="605"/>
      <c r="B215" s="605"/>
      <c r="C215" s="445">
        <v>435</v>
      </c>
      <c r="D215" s="445">
        <v>0</v>
      </c>
      <c r="E215" s="451" t="s">
        <v>413</v>
      </c>
      <c r="F215" s="471">
        <v>350.88</v>
      </c>
      <c r="G215" s="471">
        <v>350.88</v>
      </c>
      <c r="H215" s="469">
        <f t="shared" si="3"/>
        <v>100</v>
      </c>
    </row>
    <row r="216" spans="1:8" ht="22.5">
      <c r="A216" s="605"/>
      <c r="B216" s="605"/>
      <c r="C216" s="445">
        <v>437</v>
      </c>
      <c r="D216" s="445">
        <v>0</v>
      </c>
      <c r="E216" s="452" t="s">
        <v>415</v>
      </c>
      <c r="F216" s="471">
        <v>3344.56</v>
      </c>
      <c r="G216" s="471">
        <v>3344.56</v>
      </c>
      <c r="H216" s="469">
        <f t="shared" si="3"/>
        <v>100</v>
      </c>
    </row>
    <row r="217" spans="1:8">
      <c r="A217" s="605"/>
      <c r="B217" s="605"/>
      <c r="C217" s="445">
        <v>441</v>
      </c>
      <c r="D217" s="445">
        <v>0</v>
      </c>
      <c r="E217" s="451" t="s">
        <v>416</v>
      </c>
      <c r="F217" s="471">
        <v>3000</v>
      </c>
      <c r="G217" s="471">
        <v>2998.73</v>
      </c>
      <c r="H217" s="469">
        <f t="shared" si="3"/>
        <v>99.957666666666668</v>
      </c>
    </row>
    <row r="218" spans="1:8">
      <c r="A218" s="605"/>
      <c r="B218" s="605"/>
      <c r="C218" s="445">
        <v>444</v>
      </c>
      <c r="D218" s="445">
        <v>0</v>
      </c>
      <c r="E218" s="451" t="s">
        <v>417</v>
      </c>
      <c r="F218" s="471">
        <v>49246</v>
      </c>
      <c r="G218" s="471">
        <v>49246</v>
      </c>
      <c r="H218" s="469">
        <f t="shared" si="3"/>
        <v>100</v>
      </c>
    </row>
    <row r="219" spans="1:8">
      <c r="A219" s="605"/>
      <c r="B219" s="605"/>
      <c r="C219" s="445">
        <v>448</v>
      </c>
      <c r="D219" s="445">
        <v>0</v>
      </c>
      <c r="E219" s="451" t="s">
        <v>418</v>
      </c>
      <c r="F219" s="471">
        <v>64</v>
      </c>
      <c r="G219" s="471">
        <v>64</v>
      </c>
      <c r="H219" s="469">
        <f t="shared" si="3"/>
        <v>100</v>
      </c>
    </row>
    <row r="220" spans="1:8">
      <c r="A220" s="605"/>
      <c r="B220" s="605"/>
      <c r="C220" s="445">
        <v>458</v>
      </c>
      <c r="D220" s="445">
        <v>0</v>
      </c>
      <c r="E220" s="456" t="s">
        <v>57</v>
      </c>
      <c r="F220" s="471">
        <v>24.99</v>
      </c>
      <c r="G220" s="471">
        <v>24.99</v>
      </c>
      <c r="H220" s="469">
        <f t="shared" si="3"/>
        <v>100</v>
      </c>
    </row>
    <row r="221" spans="1:8" ht="22.5">
      <c r="A221" s="605"/>
      <c r="B221" s="605"/>
      <c r="C221" s="445">
        <v>470</v>
      </c>
      <c r="D221" s="445">
        <v>0</v>
      </c>
      <c r="E221" s="452" t="s">
        <v>422</v>
      </c>
      <c r="F221" s="471">
        <v>1350</v>
      </c>
      <c r="G221" s="471">
        <v>1350</v>
      </c>
      <c r="H221" s="469">
        <f t="shared" si="3"/>
        <v>100</v>
      </c>
    </row>
    <row r="222" spans="1:8">
      <c r="A222" s="605"/>
      <c r="B222" s="605"/>
      <c r="C222" s="445">
        <v>605</v>
      </c>
      <c r="D222" s="445">
        <v>0</v>
      </c>
      <c r="E222" s="452" t="s">
        <v>423</v>
      </c>
      <c r="F222" s="471">
        <v>239430.22</v>
      </c>
      <c r="G222" s="471">
        <v>239430.22</v>
      </c>
      <c r="H222" s="469">
        <f t="shared" si="3"/>
        <v>100</v>
      </c>
    </row>
    <row r="223" spans="1:8">
      <c r="A223" s="605"/>
      <c r="B223" s="434">
        <v>80111</v>
      </c>
      <c r="C223" s="445"/>
      <c r="D223" s="445"/>
      <c r="E223" s="457" t="s">
        <v>109</v>
      </c>
      <c r="F223" s="471">
        <f>SUM(F224:F236)</f>
        <v>1564373.54</v>
      </c>
      <c r="G223" s="471">
        <f>SUM(G224:G236)</f>
        <v>1561867.6300000004</v>
      </c>
      <c r="H223" s="469">
        <f t="shared" si="3"/>
        <v>99.839813833721607</v>
      </c>
    </row>
    <row r="224" spans="1:8">
      <c r="A224" s="605"/>
      <c r="B224" s="605"/>
      <c r="C224" s="445">
        <v>302</v>
      </c>
      <c r="D224" s="445">
        <v>0</v>
      </c>
      <c r="E224" s="451" t="s">
        <v>404</v>
      </c>
      <c r="F224" s="471">
        <v>36707</v>
      </c>
      <c r="G224" s="471">
        <v>36707</v>
      </c>
      <c r="H224" s="469">
        <f t="shared" si="3"/>
        <v>100</v>
      </c>
    </row>
    <row r="225" spans="1:8">
      <c r="A225" s="605"/>
      <c r="B225" s="605"/>
      <c r="C225" s="445">
        <v>401</v>
      </c>
      <c r="D225" s="445">
        <v>0</v>
      </c>
      <c r="E225" s="451" t="s">
        <v>405</v>
      </c>
      <c r="F225" s="471">
        <v>866237.52</v>
      </c>
      <c r="G225" s="471">
        <v>866237.52</v>
      </c>
      <c r="H225" s="469">
        <f t="shared" si="3"/>
        <v>100</v>
      </c>
    </row>
    <row r="226" spans="1:8">
      <c r="A226" s="605"/>
      <c r="B226" s="605"/>
      <c r="C226" s="445">
        <v>404</v>
      </c>
      <c r="D226" s="445">
        <v>0</v>
      </c>
      <c r="E226" s="451" t="s">
        <v>406</v>
      </c>
      <c r="F226" s="471">
        <v>63827</v>
      </c>
      <c r="G226" s="471">
        <v>63827</v>
      </c>
      <c r="H226" s="469">
        <f t="shared" si="3"/>
        <v>100</v>
      </c>
    </row>
    <row r="227" spans="1:8">
      <c r="A227" s="605"/>
      <c r="B227" s="605"/>
      <c r="C227" s="445">
        <v>411</v>
      </c>
      <c r="D227" s="445">
        <v>0</v>
      </c>
      <c r="E227" s="451" t="s">
        <v>407</v>
      </c>
      <c r="F227" s="471">
        <v>147782</v>
      </c>
      <c r="G227" s="471">
        <v>147782</v>
      </c>
      <c r="H227" s="469">
        <f t="shared" si="3"/>
        <v>100</v>
      </c>
    </row>
    <row r="228" spans="1:8">
      <c r="A228" s="605"/>
      <c r="B228" s="605"/>
      <c r="C228" s="445">
        <v>412</v>
      </c>
      <c r="D228" s="445">
        <v>0</v>
      </c>
      <c r="E228" s="451" t="s">
        <v>408</v>
      </c>
      <c r="F228" s="471">
        <v>19775</v>
      </c>
      <c r="G228" s="471">
        <v>19775</v>
      </c>
      <c r="H228" s="469">
        <f t="shared" si="3"/>
        <v>100</v>
      </c>
    </row>
    <row r="229" spans="1:8">
      <c r="A229" s="605"/>
      <c r="B229" s="605"/>
      <c r="C229" s="445">
        <v>424</v>
      </c>
      <c r="D229" s="445">
        <v>0</v>
      </c>
      <c r="E229" s="451" t="s">
        <v>431</v>
      </c>
      <c r="F229" s="471">
        <v>3200</v>
      </c>
      <c r="G229" s="471">
        <v>3200</v>
      </c>
      <c r="H229" s="469">
        <f t="shared" si="3"/>
        <v>100</v>
      </c>
    </row>
    <row r="230" spans="1:8">
      <c r="A230" s="605"/>
      <c r="B230" s="605"/>
      <c r="C230" s="445">
        <v>427</v>
      </c>
      <c r="D230" s="445">
        <v>0</v>
      </c>
      <c r="E230" s="451" t="s">
        <v>411</v>
      </c>
      <c r="F230" s="471">
        <v>6849.75</v>
      </c>
      <c r="G230" s="471">
        <v>6849.75</v>
      </c>
      <c r="H230" s="469">
        <f t="shared" si="3"/>
        <v>100</v>
      </c>
    </row>
    <row r="231" spans="1:8">
      <c r="A231" s="605"/>
      <c r="B231" s="605"/>
      <c r="C231" s="445">
        <v>428</v>
      </c>
      <c r="D231" s="445">
        <v>0</v>
      </c>
      <c r="E231" s="451" t="s">
        <v>412</v>
      </c>
      <c r="F231" s="471">
        <v>400</v>
      </c>
      <c r="G231" s="471">
        <v>400</v>
      </c>
      <c r="H231" s="469">
        <f t="shared" si="3"/>
        <v>100</v>
      </c>
    </row>
    <row r="232" spans="1:8">
      <c r="A232" s="605"/>
      <c r="B232" s="605"/>
      <c r="C232" s="445">
        <v>430</v>
      </c>
      <c r="D232" s="445">
        <v>0</v>
      </c>
      <c r="E232" s="451" t="s">
        <v>398</v>
      </c>
      <c r="F232" s="471">
        <v>5390</v>
      </c>
      <c r="G232" s="471">
        <v>2884.1</v>
      </c>
      <c r="H232" s="469">
        <f t="shared" si="3"/>
        <v>53.508348794063075</v>
      </c>
    </row>
    <row r="233" spans="1:8">
      <c r="A233" s="605"/>
      <c r="B233" s="605"/>
      <c r="C233" s="445">
        <v>444</v>
      </c>
      <c r="D233" s="445">
        <v>0</v>
      </c>
      <c r="E233" s="451" t="s">
        <v>417</v>
      </c>
      <c r="F233" s="471">
        <v>48941</v>
      </c>
      <c r="G233" s="471">
        <v>48941</v>
      </c>
      <c r="H233" s="469">
        <f t="shared" si="3"/>
        <v>100</v>
      </c>
    </row>
    <row r="234" spans="1:8">
      <c r="A234" s="605"/>
      <c r="B234" s="605"/>
      <c r="C234" s="445">
        <v>605</v>
      </c>
      <c r="D234" s="445">
        <v>0</v>
      </c>
      <c r="E234" s="452" t="s">
        <v>423</v>
      </c>
      <c r="F234" s="471">
        <v>93763.33</v>
      </c>
      <c r="G234" s="471">
        <v>93763.33</v>
      </c>
      <c r="H234" s="469">
        <f t="shared" si="3"/>
        <v>100</v>
      </c>
    </row>
    <row r="235" spans="1:8">
      <c r="A235" s="605"/>
      <c r="B235" s="605"/>
      <c r="C235" s="445">
        <v>605</v>
      </c>
      <c r="D235" s="445">
        <v>7</v>
      </c>
      <c r="E235" s="452" t="s">
        <v>423</v>
      </c>
      <c r="F235" s="471">
        <v>162900.56</v>
      </c>
      <c r="G235" s="471">
        <v>162900.56</v>
      </c>
      <c r="H235" s="469">
        <f t="shared" si="3"/>
        <v>100</v>
      </c>
    </row>
    <row r="236" spans="1:8">
      <c r="A236" s="605"/>
      <c r="B236" s="605"/>
      <c r="C236" s="445">
        <v>605</v>
      </c>
      <c r="D236" s="445">
        <v>9</v>
      </c>
      <c r="E236" s="452" t="s">
        <v>423</v>
      </c>
      <c r="F236" s="471">
        <v>108600.38</v>
      </c>
      <c r="G236" s="471">
        <v>108600.37</v>
      </c>
      <c r="H236" s="469">
        <f t="shared" si="3"/>
        <v>99.999990791929079</v>
      </c>
    </row>
    <row r="237" spans="1:8">
      <c r="A237" s="605"/>
      <c r="B237" s="434">
        <v>80120</v>
      </c>
      <c r="C237" s="445"/>
      <c r="D237" s="445"/>
      <c r="E237" s="457" t="s">
        <v>45</v>
      </c>
      <c r="F237" s="471">
        <f>SUM(F238:F263)</f>
        <v>5569842.3100000005</v>
      </c>
      <c r="G237" s="471">
        <f>SUM(G238:G263)</f>
        <v>5556101.0200000014</v>
      </c>
      <c r="H237" s="469">
        <f t="shared" si="3"/>
        <v>99.753291220196161</v>
      </c>
    </row>
    <row r="238" spans="1:8" ht="22.5">
      <c r="A238" s="605"/>
      <c r="B238" s="605"/>
      <c r="C238" s="445">
        <v>254</v>
      </c>
      <c r="D238" s="445">
        <v>0</v>
      </c>
      <c r="E238" s="452" t="s">
        <v>449</v>
      </c>
      <c r="F238" s="471">
        <v>934508.4</v>
      </c>
      <c r="G238" s="471">
        <v>921110.67</v>
      </c>
      <c r="H238" s="469">
        <f t="shared" si="3"/>
        <v>98.566333914173484</v>
      </c>
    </row>
    <row r="239" spans="1:8">
      <c r="A239" s="605"/>
      <c r="B239" s="605"/>
      <c r="C239" s="445">
        <v>302</v>
      </c>
      <c r="D239" s="445">
        <v>0</v>
      </c>
      <c r="E239" s="451" t="s">
        <v>404</v>
      </c>
      <c r="F239" s="471">
        <v>85169.93</v>
      </c>
      <c r="G239" s="471">
        <v>85169.93</v>
      </c>
      <c r="H239" s="469">
        <f t="shared" si="3"/>
        <v>100</v>
      </c>
    </row>
    <row r="240" spans="1:8">
      <c r="A240" s="605"/>
      <c r="B240" s="605"/>
      <c r="C240" s="445">
        <v>401</v>
      </c>
      <c r="D240" s="445">
        <v>0</v>
      </c>
      <c r="E240" s="451" t="s">
        <v>405</v>
      </c>
      <c r="F240" s="471">
        <v>2691892.15</v>
      </c>
      <c r="G240" s="471">
        <v>2691892.15</v>
      </c>
      <c r="H240" s="469">
        <f t="shared" si="3"/>
        <v>100</v>
      </c>
    </row>
    <row r="241" spans="1:8">
      <c r="A241" s="605"/>
      <c r="B241" s="605"/>
      <c r="C241" s="445">
        <v>404</v>
      </c>
      <c r="D241" s="445">
        <v>0</v>
      </c>
      <c r="E241" s="451" t="s">
        <v>406</v>
      </c>
      <c r="F241" s="471">
        <v>203142.63</v>
      </c>
      <c r="G241" s="471">
        <v>203142</v>
      </c>
      <c r="H241" s="469">
        <f t="shared" si="3"/>
        <v>99.999689873070949</v>
      </c>
    </row>
    <row r="242" spans="1:8">
      <c r="A242" s="605"/>
      <c r="B242" s="605"/>
      <c r="C242" s="445">
        <v>411</v>
      </c>
      <c r="D242" s="445">
        <v>0</v>
      </c>
      <c r="E242" s="451" t="s">
        <v>407</v>
      </c>
      <c r="F242" s="471">
        <v>436980.04</v>
      </c>
      <c r="G242" s="471">
        <v>436980.04</v>
      </c>
      <c r="H242" s="469">
        <f t="shared" si="3"/>
        <v>100</v>
      </c>
    </row>
    <row r="243" spans="1:8">
      <c r="A243" s="605"/>
      <c r="B243" s="605"/>
      <c r="C243" s="445">
        <v>412</v>
      </c>
      <c r="D243" s="445">
        <v>0</v>
      </c>
      <c r="E243" s="451" t="s">
        <v>408</v>
      </c>
      <c r="F243" s="471">
        <v>62458.66</v>
      </c>
      <c r="G243" s="471">
        <v>62458.66</v>
      </c>
      <c r="H243" s="469">
        <f t="shared" si="3"/>
        <v>100</v>
      </c>
    </row>
    <row r="244" spans="1:8" ht="22.5">
      <c r="A244" s="605"/>
      <c r="B244" s="605"/>
      <c r="C244" s="445">
        <v>414</v>
      </c>
      <c r="D244" s="445">
        <v>0</v>
      </c>
      <c r="E244" s="454" t="s">
        <v>430</v>
      </c>
      <c r="F244" s="471">
        <v>2429</v>
      </c>
      <c r="G244" s="471">
        <v>2429</v>
      </c>
      <c r="H244" s="469">
        <f t="shared" si="3"/>
        <v>100</v>
      </c>
    </row>
    <row r="245" spans="1:8">
      <c r="A245" s="605"/>
      <c r="B245" s="605"/>
      <c r="C245" s="445">
        <v>417</v>
      </c>
      <c r="D245" s="445">
        <v>0</v>
      </c>
      <c r="E245" s="451" t="s">
        <v>409</v>
      </c>
      <c r="F245" s="471">
        <v>38165.58</v>
      </c>
      <c r="G245" s="471">
        <v>38165.58</v>
      </c>
      <c r="H245" s="469">
        <f t="shared" si="3"/>
        <v>100</v>
      </c>
    </row>
    <row r="246" spans="1:8">
      <c r="A246" s="605"/>
      <c r="B246" s="605"/>
      <c r="C246" s="445">
        <v>421</v>
      </c>
      <c r="D246" s="445">
        <v>0</v>
      </c>
      <c r="E246" s="451" t="s">
        <v>401</v>
      </c>
      <c r="F246" s="471">
        <v>162348.66</v>
      </c>
      <c r="G246" s="471">
        <v>162348.66</v>
      </c>
      <c r="H246" s="469">
        <f t="shared" si="3"/>
        <v>100</v>
      </c>
    </row>
    <row r="247" spans="1:8">
      <c r="A247" s="605"/>
      <c r="B247" s="605"/>
      <c r="C247" s="445">
        <v>424</v>
      </c>
      <c r="D247" s="445">
        <v>0</v>
      </c>
      <c r="E247" s="451" t="s">
        <v>431</v>
      </c>
      <c r="F247" s="471">
        <v>9866.42</v>
      </c>
      <c r="G247" s="471">
        <v>9866.24</v>
      </c>
      <c r="H247" s="469">
        <f t="shared" si="3"/>
        <v>99.998175630066427</v>
      </c>
    </row>
    <row r="248" spans="1:8">
      <c r="A248" s="605"/>
      <c r="B248" s="605"/>
      <c r="C248" s="445">
        <v>426</v>
      </c>
      <c r="D248" s="445">
        <v>0</v>
      </c>
      <c r="E248" s="451" t="s">
        <v>410</v>
      </c>
      <c r="F248" s="471">
        <v>282807.27</v>
      </c>
      <c r="G248" s="471">
        <v>282807.27</v>
      </c>
      <c r="H248" s="469">
        <f t="shared" si="3"/>
        <v>100</v>
      </c>
    </row>
    <row r="249" spans="1:8">
      <c r="A249" s="605"/>
      <c r="B249" s="605"/>
      <c r="C249" s="445">
        <v>427</v>
      </c>
      <c r="D249" s="445">
        <v>0</v>
      </c>
      <c r="E249" s="451" t="s">
        <v>411</v>
      </c>
      <c r="F249" s="471">
        <v>62422.51</v>
      </c>
      <c r="G249" s="471">
        <v>62422.51</v>
      </c>
      <c r="H249" s="469">
        <f t="shared" si="3"/>
        <v>100</v>
      </c>
    </row>
    <row r="250" spans="1:8">
      <c r="A250" s="605"/>
      <c r="B250" s="605"/>
      <c r="C250" s="445">
        <v>428</v>
      </c>
      <c r="D250" s="445">
        <v>0</v>
      </c>
      <c r="E250" s="451" t="s">
        <v>412</v>
      </c>
      <c r="F250" s="471">
        <v>2932.99</v>
      </c>
      <c r="G250" s="471">
        <v>2932.99</v>
      </c>
      <c r="H250" s="469">
        <f t="shared" si="3"/>
        <v>100</v>
      </c>
    </row>
    <row r="251" spans="1:8">
      <c r="A251" s="605"/>
      <c r="B251" s="605"/>
      <c r="C251" s="445">
        <v>430</v>
      </c>
      <c r="D251" s="445">
        <v>0</v>
      </c>
      <c r="E251" s="451" t="s">
        <v>398</v>
      </c>
      <c r="F251" s="471">
        <v>138922.74</v>
      </c>
      <c r="G251" s="471">
        <v>138581.46</v>
      </c>
      <c r="H251" s="469">
        <f t="shared" si="3"/>
        <v>99.754338274641</v>
      </c>
    </row>
    <row r="252" spans="1:8">
      <c r="A252" s="605"/>
      <c r="B252" s="605"/>
      <c r="C252" s="445">
        <v>435</v>
      </c>
      <c r="D252" s="445">
        <v>0</v>
      </c>
      <c r="E252" s="451" t="s">
        <v>413</v>
      </c>
      <c r="F252" s="471">
        <v>2592.88</v>
      </c>
      <c r="G252" s="471">
        <v>2592.88</v>
      </c>
      <c r="H252" s="469">
        <f t="shared" si="3"/>
        <v>100</v>
      </c>
    </row>
    <row r="253" spans="1:8" ht="22.5">
      <c r="A253" s="605"/>
      <c r="B253" s="605"/>
      <c r="C253" s="445">
        <v>436</v>
      </c>
      <c r="D253" s="445">
        <v>0</v>
      </c>
      <c r="E253" s="452" t="s">
        <v>414</v>
      </c>
      <c r="F253" s="471">
        <v>817</v>
      </c>
      <c r="G253" s="471">
        <v>815.53</v>
      </c>
      <c r="H253" s="469">
        <f t="shared" si="3"/>
        <v>99.820073439412482</v>
      </c>
    </row>
    <row r="254" spans="1:8" ht="22.5">
      <c r="A254" s="605"/>
      <c r="B254" s="605"/>
      <c r="C254" s="445">
        <v>437</v>
      </c>
      <c r="D254" s="445">
        <v>0</v>
      </c>
      <c r="E254" s="452" t="s">
        <v>415</v>
      </c>
      <c r="F254" s="471">
        <v>5921.74</v>
      </c>
      <c r="G254" s="471">
        <v>5921.74</v>
      </c>
      <c r="H254" s="469">
        <f t="shared" si="3"/>
        <v>100</v>
      </c>
    </row>
    <row r="255" spans="1:8">
      <c r="A255" s="605"/>
      <c r="B255" s="605"/>
      <c r="C255" s="445">
        <v>441</v>
      </c>
      <c r="D255" s="445">
        <v>0</v>
      </c>
      <c r="E255" s="451" t="s">
        <v>416</v>
      </c>
      <c r="F255" s="471">
        <v>5405.5</v>
      </c>
      <c r="G255" s="471">
        <v>5405.5</v>
      </c>
      <c r="H255" s="469">
        <f t="shared" si="3"/>
        <v>100</v>
      </c>
    </row>
    <row r="256" spans="1:8">
      <c r="A256" s="605"/>
      <c r="B256" s="605"/>
      <c r="C256" s="445">
        <v>442</v>
      </c>
      <c r="D256" s="445">
        <v>0</v>
      </c>
      <c r="E256" s="452" t="s">
        <v>433</v>
      </c>
      <c r="F256" s="471">
        <v>287.91000000000003</v>
      </c>
      <c r="G256" s="471">
        <v>287.91000000000003</v>
      </c>
      <c r="H256" s="469">
        <f t="shared" si="3"/>
        <v>100</v>
      </c>
    </row>
    <row r="257" spans="1:8">
      <c r="A257" s="605"/>
      <c r="B257" s="605"/>
      <c r="C257" s="445">
        <v>444</v>
      </c>
      <c r="D257" s="445">
        <v>0</v>
      </c>
      <c r="E257" s="451" t="s">
        <v>417</v>
      </c>
      <c r="F257" s="471">
        <v>190931.99</v>
      </c>
      <c r="G257" s="471">
        <v>190931.99</v>
      </c>
      <c r="H257" s="469">
        <f t="shared" si="3"/>
        <v>100</v>
      </c>
    </row>
    <row r="258" spans="1:8">
      <c r="A258" s="605"/>
      <c r="B258" s="605"/>
      <c r="C258" s="445">
        <v>451</v>
      </c>
      <c r="D258" s="445">
        <v>0</v>
      </c>
      <c r="E258" s="452" t="s">
        <v>419</v>
      </c>
      <c r="F258" s="471">
        <v>28.57</v>
      </c>
      <c r="G258" s="471">
        <v>28.57</v>
      </c>
      <c r="H258" s="469">
        <f t="shared" si="3"/>
        <v>100</v>
      </c>
    </row>
    <row r="259" spans="1:8" ht="22.5">
      <c r="A259" s="605"/>
      <c r="B259" s="605"/>
      <c r="C259" s="445">
        <v>470</v>
      </c>
      <c r="D259" s="445">
        <v>0</v>
      </c>
      <c r="E259" s="452" t="s">
        <v>422</v>
      </c>
      <c r="F259" s="471">
        <v>2172.86</v>
      </c>
      <c r="G259" s="471">
        <v>2172.86</v>
      </c>
      <c r="H259" s="469">
        <f t="shared" si="3"/>
        <v>100</v>
      </c>
    </row>
    <row r="260" spans="1:8" ht="22.5">
      <c r="A260" s="605"/>
      <c r="B260" s="605"/>
      <c r="C260" s="445">
        <v>605</v>
      </c>
      <c r="D260" s="445">
        <v>0</v>
      </c>
      <c r="E260" s="452" t="s">
        <v>450</v>
      </c>
      <c r="F260" s="471">
        <v>26803.05</v>
      </c>
      <c r="G260" s="471">
        <v>26803.05</v>
      </c>
      <c r="H260" s="469">
        <f t="shared" si="3"/>
        <v>100</v>
      </c>
    </row>
    <row r="261" spans="1:8">
      <c r="A261" s="605"/>
      <c r="B261" s="605"/>
      <c r="C261" s="445">
        <v>605</v>
      </c>
      <c r="D261" s="445">
        <v>7</v>
      </c>
      <c r="E261" s="452" t="s">
        <v>423</v>
      </c>
      <c r="F261" s="471">
        <v>77511.81</v>
      </c>
      <c r="G261" s="471">
        <v>77511.81</v>
      </c>
      <c r="H261" s="469">
        <f t="shared" si="3"/>
        <v>100</v>
      </c>
    </row>
    <row r="262" spans="1:8">
      <c r="A262" s="605"/>
      <c r="B262" s="605"/>
      <c r="C262" s="445">
        <v>605</v>
      </c>
      <c r="D262" s="445">
        <v>9</v>
      </c>
      <c r="E262" s="452" t="s">
        <v>423</v>
      </c>
      <c r="F262" s="471">
        <v>81822.02</v>
      </c>
      <c r="G262" s="471">
        <v>81822.02</v>
      </c>
      <c r="H262" s="469">
        <f t="shared" si="3"/>
        <v>100</v>
      </c>
    </row>
    <row r="263" spans="1:8">
      <c r="A263" s="605"/>
      <c r="B263" s="605"/>
      <c r="C263" s="445">
        <v>606</v>
      </c>
      <c r="D263" s="445">
        <v>0</v>
      </c>
      <c r="E263" s="454" t="s">
        <v>424</v>
      </c>
      <c r="F263" s="471">
        <v>61500</v>
      </c>
      <c r="G263" s="471">
        <v>61500</v>
      </c>
      <c r="H263" s="469">
        <f t="shared" si="3"/>
        <v>100</v>
      </c>
    </row>
    <row r="264" spans="1:8">
      <c r="A264" s="605"/>
      <c r="B264" s="434">
        <v>80123</v>
      </c>
      <c r="C264" s="445"/>
      <c r="D264" s="445"/>
      <c r="E264" s="457" t="s">
        <v>40</v>
      </c>
      <c r="F264" s="471">
        <f>SUM(F265:F265)</f>
        <v>217543.2</v>
      </c>
      <c r="G264" s="471">
        <f>SUM(G265:G265)</f>
        <v>202934.26</v>
      </c>
      <c r="H264" s="469">
        <f t="shared" si="3"/>
        <v>93.284579798403257</v>
      </c>
    </row>
    <row r="265" spans="1:8" ht="22.5">
      <c r="A265" s="605"/>
      <c r="B265" s="434"/>
      <c r="C265" s="445">
        <v>254</v>
      </c>
      <c r="D265" s="445">
        <v>0</v>
      </c>
      <c r="E265" s="452" t="s">
        <v>449</v>
      </c>
      <c r="F265" s="471">
        <v>217543.2</v>
      </c>
      <c r="G265" s="471">
        <v>202934.26</v>
      </c>
      <c r="H265" s="469">
        <f t="shared" si="3"/>
        <v>93.284579798403257</v>
      </c>
    </row>
    <row r="266" spans="1:8">
      <c r="A266" s="605"/>
      <c r="B266" s="434">
        <v>80130</v>
      </c>
      <c r="C266" s="445"/>
      <c r="D266" s="445"/>
      <c r="E266" s="457" t="s">
        <v>41</v>
      </c>
      <c r="F266" s="471">
        <f>SUM(F267:F296)</f>
        <v>6107319.6999999993</v>
      </c>
      <c r="G266" s="471">
        <f>SUM(G267:G296)</f>
        <v>6054548.8999999985</v>
      </c>
      <c r="H266" s="469">
        <f t="shared" si="3"/>
        <v>99.135941745443574</v>
      </c>
    </row>
    <row r="267" spans="1:8" ht="22.5">
      <c r="A267" s="605"/>
      <c r="B267" s="605"/>
      <c r="C267" s="445">
        <v>254</v>
      </c>
      <c r="D267" s="445">
        <v>0</v>
      </c>
      <c r="E267" s="452" t="s">
        <v>449</v>
      </c>
      <c r="F267" s="471">
        <v>385050</v>
      </c>
      <c r="G267" s="471">
        <v>384577.06</v>
      </c>
      <c r="H267" s="469">
        <f t="shared" si="3"/>
        <v>99.877174392935984</v>
      </c>
    </row>
    <row r="268" spans="1:8">
      <c r="A268" s="605"/>
      <c r="B268" s="605"/>
      <c r="C268" s="445">
        <v>302</v>
      </c>
      <c r="D268" s="445">
        <v>0</v>
      </c>
      <c r="E268" s="451" t="s">
        <v>404</v>
      </c>
      <c r="F268" s="471">
        <v>44189.83</v>
      </c>
      <c r="G268" s="471">
        <v>44189.19</v>
      </c>
      <c r="H268" s="469">
        <f t="shared" si="3"/>
        <v>99.998551702959716</v>
      </c>
    </row>
    <row r="269" spans="1:8">
      <c r="A269" s="605"/>
      <c r="B269" s="605"/>
      <c r="C269" s="445">
        <v>324</v>
      </c>
      <c r="D269" s="445">
        <v>0</v>
      </c>
      <c r="E269" s="451" t="s">
        <v>451</v>
      </c>
      <c r="F269" s="471">
        <v>2580</v>
      </c>
      <c r="G269" s="471">
        <v>2580</v>
      </c>
      <c r="H269" s="469">
        <f t="shared" ref="H269:H332" si="4">G269/F269*100</f>
        <v>100</v>
      </c>
    </row>
    <row r="270" spans="1:8">
      <c r="A270" s="605"/>
      <c r="B270" s="605"/>
      <c r="C270" s="445">
        <v>401</v>
      </c>
      <c r="D270" s="445">
        <v>0</v>
      </c>
      <c r="E270" s="461" t="s">
        <v>405</v>
      </c>
      <c r="F270" s="471">
        <v>3450881.85</v>
      </c>
      <c r="G270" s="471">
        <v>3450881.85</v>
      </c>
      <c r="H270" s="469">
        <f t="shared" si="4"/>
        <v>100</v>
      </c>
    </row>
    <row r="271" spans="1:8">
      <c r="A271" s="605"/>
      <c r="B271" s="605"/>
      <c r="C271" s="445">
        <v>404</v>
      </c>
      <c r="D271" s="445">
        <v>0</v>
      </c>
      <c r="E271" s="461" t="s">
        <v>406</v>
      </c>
      <c r="F271" s="471">
        <v>243771.87</v>
      </c>
      <c r="G271" s="471">
        <v>243770.99</v>
      </c>
      <c r="H271" s="469">
        <f t="shared" si="4"/>
        <v>99.999639006748396</v>
      </c>
    </row>
    <row r="272" spans="1:8">
      <c r="A272" s="605"/>
      <c r="B272" s="605"/>
      <c r="C272" s="445">
        <v>411</v>
      </c>
      <c r="D272" s="445">
        <v>0</v>
      </c>
      <c r="E272" s="461" t="s">
        <v>407</v>
      </c>
      <c r="F272" s="471">
        <v>547931.98</v>
      </c>
      <c r="G272" s="471">
        <v>547931.98</v>
      </c>
      <c r="H272" s="469">
        <f t="shared" si="4"/>
        <v>100</v>
      </c>
    </row>
    <row r="273" spans="1:8">
      <c r="A273" s="605"/>
      <c r="B273" s="605"/>
      <c r="C273" s="445">
        <v>412</v>
      </c>
      <c r="D273" s="445">
        <v>0</v>
      </c>
      <c r="E273" s="461" t="s">
        <v>408</v>
      </c>
      <c r="F273" s="471">
        <v>79008.44</v>
      </c>
      <c r="G273" s="471">
        <v>79008.44</v>
      </c>
      <c r="H273" s="469">
        <f t="shared" si="4"/>
        <v>100</v>
      </c>
    </row>
    <row r="274" spans="1:8" ht="22.5">
      <c r="A274" s="605"/>
      <c r="B274" s="605"/>
      <c r="C274" s="445">
        <v>414</v>
      </c>
      <c r="D274" s="445">
        <v>0</v>
      </c>
      <c r="E274" s="454" t="s">
        <v>430</v>
      </c>
      <c r="F274" s="471">
        <v>2430</v>
      </c>
      <c r="G274" s="471">
        <v>2430</v>
      </c>
      <c r="H274" s="469">
        <f t="shared" si="4"/>
        <v>100</v>
      </c>
    </row>
    <row r="275" spans="1:8">
      <c r="A275" s="605"/>
      <c r="B275" s="605"/>
      <c r="C275" s="445">
        <v>417</v>
      </c>
      <c r="D275" s="445">
        <v>0</v>
      </c>
      <c r="E275" s="452" t="s">
        <v>409</v>
      </c>
      <c r="F275" s="471">
        <v>11689.21</v>
      </c>
      <c r="G275" s="471">
        <v>11688.55</v>
      </c>
      <c r="H275" s="469">
        <f t="shared" si="4"/>
        <v>99.994353767277687</v>
      </c>
    </row>
    <row r="276" spans="1:8">
      <c r="A276" s="605"/>
      <c r="B276" s="605"/>
      <c r="C276" s="445">
        <v>421</v>
      </c>
      <c r="D276" s="445">
        <v>0</v>
      </c>
      <c r="E276" s="461" t="s">
        <v>401</v>
      </c>
      <c r="F276" s="471">
        <v>122307.97</v>
      </c>
      <c r="G276" s="471">
        <v>122307.97</v>
      </c>
      <c r="H276" s="469">
        <f t="shared" si="4"/>
        <v>100</v>
      </c>
    </row>
    <row r="277" spans="1:8">
      <c r="A277" s="605"/>
      <c r="B277" s="605"/>
      <c r="C277" s="445">
        <v>424</v>
      </c>
      <c r="D277" s="445">
        <v>0</v>
      </c>
      <c r="E277" s="454" t="s">
        <v>431</v>
      </c>
      <c r="F277" s="471">
        <v>25681.06</v>
      </c>
      <c r="G277" s="471">
        <v>25680.43</v>
      </c>
      <c r="H277" s="469">
        <f t="shared" si="4"/>
        <v>99.997546830232082</v>
      </c>
    </row>
    <row r="278" spans="1:8">
      <c r="A278" s="605"/>
      <c r="B278" s="605"/>
      <c r="C278" s="445">
        <v>426</v>
      </c>
      <c r="D278" s="445">
        <v>0</v>
      </c>
      <c r="E278" s="461" t="s">
        <v>410</v>
      </c>
      <c r="F278" s="471">
        <v>145053.5</v>
      </c>
      <c r="G278" s="471">
        <v>145053.5</v>
      </c>
      <c r="H278" s="469">
        <f t="shared" si="4"/>
        <v>100</v>
      </c>
    </row>
    <row r="279" spans="1:8">
      <c r="A279" s="605"/>
      <c r="B279" s="605"/>
      <c r="C279" s="445">
        <v>427</v>
      </c>
      <c r="D279" s="445">
        <v>0</v>
      </c>
      <c r="E279" s="461" t="s">
        <v>411</v>
      </c>
      <c r="F279" s="471">
        <v>145878.39999999999</v>
      </c>
      <c r="G279" s="471">
        <v>145877.39000000001</v>
      </c>
      <c r="H279" s="469">
        <f t="shared" si="4"/>
        <v>99.999307642529672</v>
      </c>
    </row>
    <row r="280" spans="1:8">
      <c r="A280" s="605"/>
      <c r="B280" s="605"/>
      <c r="C280" s="445">
        <v>428</v>
      </c>
      <c r="D280" s="445">
        <v>0</v>
      </c>
      <c r="E280" s="451" t="s">
        <v>412</v>
      </c>
      <c r="F280" s="471">
        <v>3399.01</v>
      </c>
      <c r="G280" s="471">
        <v>3399.01</v>
      </c>
      <c r="H280" s="469">
        <f t="shared" si="4"/>
        <v>100</v>
      </c>
    </row>
    <row r="281" spans="1:8">
      <c r="A281" s="605"/>
      <c r="B281" s="605"/>
      <c r="C281" s="445">
        <v>430</v>
      </c>
      <c r="D281" s="445">
        <v>0</v>
      </c>
      <c r="E281" s="461" t="s">
        <v>398</v>
      </c>
      <c r="F281" s="471">
        <v>212267.6</v>
      </c>
      <c r="G281" s="471">
        <v>159977.23000000001</v>
      </c>
      <c r="H281" s="469">
        <f t="shared" si="4"/>
        <v>75.36582596684562</v>
      </c>
    </row>
    <row r="282" spans="1:8">
      <c r="A282" s="605"/>
      <c r="B282" s="605"/>
      <c r="C282" s="445">
        <v>435</v>
      </c>
      <c r="D282" s="445">
        <v>0</v>
      </c>
      <c r="E282" s="451" t="s">
        <v>413</v>
      </c>
      <c r="F282" s="471">
        <v>3978.32</v>
      </c>
      <c r="G282" s="471">
        <v>3977.63</v>
      </c>
      <c r="H282" s="469">
        <f t="shared" si="4"/>
        <v>99.982655995495577</v>
      </c>
    </row>
    <row r="283" spans="1:8" ht="22.5">
      <c r="A283" s="605"/>
      <c r="B283" s="605"/>
      <c r="C283" s="445">
        <v>436</v>
      </c>
      <c r="D283" s="445">
        <v>0</v>
      </c>
      <c r="E283" s="452" t="s">
        <v>414</v>
      </c>
      <c r="F283" s="471">
        <v>1454</v>
      </c>
      <c r="G283" s="471">
        <v>1453.22</v>
      </c>
      <c r="H283" s="469">
        <f t="shared" si="4"/>
        <v>99.946354883081156</v>
      </c>
    </row>
    <row r="284" spans="1:8" ht="22.5">
      <c r="A284" s="605"/>
      <c r="B284" s="605"/>
      <c r="C284" s="445">
        <v>437</v>
      </c>
      <c r="D284" s="445">
        <v>0</v>
      </c>
      <c r="E284" s="452" t="s">
        <v>415</v>
      </c>
      <c r="F284" s="471">
        <v>6681.57</v>
      </c>
      <c r="G284" s="471">
        <v>6681.09</v>
      </c>
      <c r="H284" s="469">
        <f t="shared" si="4"/>
        <v>99.992816059698555</v>
      </c>
    </row>
    <row r="285" spans="1:8">
      <c r="A285" s="605"/>
      <c r="B285" s="605"/>
      <c r="C285" s="445">
        <v>441</v>
      </c>
      <c r="D285" s="445">
        <v>0</v>
      </c>
      <c r="E285" s="461" t="s">
        <v>416</v>
      </c>
      <c r="F285" s="471">
        <v>9817.82</v>
      </c>
      <c r="G285" s="471">
        <v>9817.7999999999993</v>
      </c>
      <c r="H285" s="469">
        <f t="shared" si="4"/>
        <v>99.999796288789156</v>
      </c>
    </row>
    <row r="286" spans="1:8">
      <c r="A286" s="605"/>
      <c r="B286" s="605"/>
      <c r="C286" s="445">
        <v>442</v>
      </c>
      <c r="D286" s="445">
        <v>0</v>
      </c>
      <c r="E286" s="452" t="s">
        <v>433</v>
      </c>
      <c r="F286" s="471">
        <v>215.97</v>
      </c>
      <c r="G286" s="471">
        <v>215.97</v>
      </c>
      <c r="H286" s="469">
        <f t="shared" si="4"/>
        <v>100</v>
      </c>
    </row>
    <row r="287" spans="1:8">
      <c r="A287" s="605"/>
      <c r="B287" s="605"/>
      <c r="C287" s="445">
        <v>443</v>
      </c>
      <c r="D287" s="445">
        <v>0</v>
      </c>
      <c r="E287" s="454" t="s">
        <v>429</v>
      </c>
      <c r="F287" s="471">
        <v>69</v>
      </c>
      <c r="G287" s="471">
        <v>69</v>
      </c>
      <c r="H287" s="469">
        <f t="shared" si="4"/>
        <v>100</v>
      </c>
    </row>
    <row r="288" spans="1:8">
      <c r="A288" s="605"/>
      <c r="B288" s="605"/>
      <c r="C288" s="445">
        <v>444</v>
      </c>
      <c r="D288" s="445">
        <v>0</v>
      </c>
      <c r="E288" s="461" t="s">
        <v>417</v>
      </c>
      <c r="F288" s="471">
        <v>199719.14</v>
      </c>
      <c r="G288" s="471">
        <v>199719.14</v>
      </c>
      <c r="H288" s="469">
        <f t="shared" si="4"/>
        <v>100</v>
      </c>
    </row>
    <row r="289" spans="1:8">
      <c r="A289" s="605"/>
      <c r="B289" s="605"/>
      <c r="C289" s="445">
        <v>451</v>
      </c>
      <c r="D289" s="445">
        <v>0</v>
      </c>
      <c r="E289" s="452" t="s">
        <v>419</v>
      </c>
      <c r="F289" s="471">
        <v>21.43</v>
      </c>
      <c r="G289" s="471">
        <v>21.43</v>
      </c>
      <c r="H289" s="469">
        <f t="shared" si="4"/>
        <v>100</v>
      </c>
    </row>
    <row r="290" spans="1:8">
      <c r="A290" s="605"/>
      <c r="B290" s="605"/>
      <c r="C290" s="445">
        <v>453</v>
      </c>
      <c r="D290" s="445">
        <v>0</v>
      </c>
      <c r="E290" s="452" t="s">
        <v>402</v>
      </c>
      <c r="F290" s="471">
        <v>5041</v>
      </c>
      <c r="G290" s="471">
        <v>5041</v>
      </c>
      <c r="H290" s="469">
        <f t="shared" si="4"/>
        <v>100</v>
      </c>
    </row>
    <row r="291" spans="1:8">
      <c r="A291" s="605"/>
      <c r="B291" s="605"/>
      <c r="C291" s="445">
        <v>458</v>
      </c>
      <c r="D291" s="445">
        <v>0</v>
      </c>
      <c r="E291" s="435" t="s">
        <v>57</v>
      </c>
      <c r="F291" s="471">
        <v>291</v>
      </c>
      <c r="G291" s="471">
        <v>290.98</v>
      </c>
      <c r="H291" s="469">
        <f t="shared" si="4"/>
        <v>99.99312714776633</v>
      </c>
    </row>
    <row r="292" spans="1:8">
      <c r="A292" s="605"/>
      <c r="B292" s="605"/>
      <c r="C292" s="445">
        <v>461</v>
      </c>
      <c r="D292" s="445">
        <v>0</v>
      </c>
      <c r="E292" s="451" t="s">
        <v>421</v>
      </c>
      <c r="F292" s="471">
        <v>1217</v>
      </c>
      <c r="G292" s="471">
        <v>1216.05</v>
      </c>
      <c r="H292" s="469">
        <f t="shared" si="4"/>
        <v>99.921939194741157</v>
      </c>
    </row>
    <row r="293" spans="1:8" ht="22.5">
      <c r="A293" s="605"/>
      <c r="B293" s="605"/>
      <c r="C293" s="445">
        <v>470</v>
      </c>
      <c r="D293" s="445">
        <v>0</v>
      </c>
      <c r="E293" s="452" t="s">
        <v>422</v>
      </c>
      <c r="F293" s="471">
        <v>2837.34</v>
      </c>
      <c r="G293" s="471">
        <v>2836.61</v>
      </c>
      <c r="H293" s="469">
        <f t="shared" si="4"/>
        <v>99.97427167699324</v>
      </c>
    </row>
    <row r="294" spans="1:8">
      <c r="A294" s="605"/>
      <c r="B294" s="605"/>
      <c r="C294" s="445">
        <v>605</v>
      </c>
      <c r="D294" s="445">
        <v>0</v>
      </c>
      <c r="E294" s="452" t="s">
        <v>423</v>
      </c>
      <c r="F294" s="471">
        <v>120409.68</v>
      </c>
      <c r="G294" s="471">
        <v>120409.68</v>
      </c>
      <c r="H294" s="469">
        <f t="shared" si="4"/>
        <v>100</v>
      </c>
    </row>
    <row r="295" spans="1:8">
      <c r="A295" s="605"/>
      <c r="B295" s="605"/>
      <c r="C295" s="445">
        <v>605</v>
      </c>
      <c r="D295" s="445">
        <v>7</v>
      </c>
      <c r="E295" s="452" t="s">
        <v>423</v>
      </c>
      <c r="F295" s="471">
        <v>162412.65</v>
      </c>
      <c r="G295" s="471">
        <v>162412.65</v>
      </c>
      <c r="H295" s="469">
        <f t="shared" si="4"/>
        <v>100</v>
      </c>
    </row>
    <row r="296" spans="1:8">
      <c r="A296" s="605"/>
      <c r="B296" s="605"/>
      <c r="C296" s="445">
        <v>605</v>
      </c>
      <c r="D296" s="445">
        <v>9</v>
      </c>
      <c r="E296" s="452" t="s">
        <v>423</v>
      </c>
      <c r="F296" s="471">
        <v>171033.06</v>
      </c>
      <c r="G296" s="471">
        <v>171033.06</v>
      </c>
      <c r="H296" s="469">
        <f t="shared" si="4"/>
        <v>100</v>
      </c>
    </row>
    <row r="297" spans="1:8">
      <c r="A297" s="605"/>
      <c r="B297" s="434">
        <v>80140</v>
      </c>
      <c r="C297" s="445"/>
      <c r="D297" s="445"/>
      <c r="E297" s="457" t="s">
        <v>167</v>
      </c>
      <c r="F297" s="471">
        <f>SUM(F298:F311)</f>
        <v>270301</v>
      </c>
      <c r="G297" s="471">
        <f>SUM(G298:G311)</f>
        <v>270297.74</v>
      </c>
      <c r="H297" s="469">
        <f t="shared" si="4"/>
        <v>99.998793937129349</v>
      </c>
    </row>
    <row r="298" spans="1:8">
      <c r="A298" s="605"/>
      <c r="B298" s="605"/>
      <c r="C298" s="445">
        <v>302</v>
      </c>
      <c r="D298" s="445">
        <v>0</v>
      </c>
      <c r="E298" s="462" t="s">
        <v>404</v>
      </c>
      <c r="F298" s="471">
        <v>265</v>
      </c>
      <c r="G298" s="471">
        <v>264.98</v>
      </c>
      <c r="H298" s="469">
        <f t="shared" si="4"/>
        <v>99.992452830188682</v>
      </c>
    </row>
    <row r="299" spans="1:8">
      <c r="A299" s="605"/>
      <c r="B299" s="605"/>
      <c r="C299" s="445">
        <v>401</v>
      </c>
      <c r="D299" s="445">
        <v>0</v>
      </c>
      <c r="E299" s="451" t="s">
        <v>405</v>
      </c>
      <c r="F299" s="471">
        <v>52920</v>
      </c>
      <c r="G299" s="471">
        <v>52919.37</v>
      </c>
      <c r="H299" s="469">
        <f t="shared" si="4"/>
        <v>99.998809523809527</v>
      </c>
    </row>
    <row r="300" spans="1:8">
      <c r="A300" s="605"/>
      <c r="B300" s="605"/>
      <c r="C300" s="445">
        <v>404</v>
      </c>
      <c r="D300" s="445">
        <v>0</v>
      </c>
      <c r="E300" s="461" t="s">
        <v>406</v>
      </c>
      <c r="F300" s="471">
        <v>2849</v>
      </c>
      <c r="G300" s="471">
        <v>2848.63</v>
      </c>
      <c r="H300" s="469">
        <f t="shared" si="4"/>
        <v>99.987012987012989</v>
      </c>
    </row>
    <row r="301" spans="1:8">
      <c r="A301" s="605"/>
      <c r="B301" s="605"/>
      <c r="C301" s="445">
        <v>411</v>
      </c>
      <c r="D301" s="445">
        <v>0</v>
      </c>
      <c r="E301" s="451" t="s">
        <v>407</v>
      </c>
      <c r="F301" s="471">
        <v>13273</v>
      </c>
      <c r="G301" s="471">
        <v>13272.04</v>
      </c>
      <c r="H301" s="469">
        <f t="shared" si="4"/>
        <v>99.992767271905379</v>
      </c>
    </row>
    <row r="302" spans="1:8">
      <c r="A302" s="605"/>
      <c r="B302" s="605"/>
      <c r="C302" s="445">
        <v>412</v>
      </c>
      <c r="D302" s="445">
        <v>0</v>
      </c>
      <c r="E302" s="451" t="s">
        <v>408</v>
      </c>
      <c r="F302" s="471">
        <v>2141</v>
      </c>
      <c r="G302" s="471">
        <v>2140.65</v>
      </c>
      <c r="H302" s="469">
        <f t="shared" si="4"/>
        <v>99.983652498832328</v>
      </c>
    </row>
    <row r="303" spans="1:8">
      <c r="A303" s="605"/>
      <c r="B303" s="605"/>
      <c r="C303" s="445">
        <v>417</v>
      </c>
      <c r="D303" s="445">
        <v>0</v>
      </c>
      <c r="E303" s="451" t="s">
        <v>409</v>
      </c>
      <c r="F303" s="471">
        <v>29217</v>
      </c>
      <c r="G303" s="471">
        <v>29217</v>
      </c>
      <c r="H303" s="469">
        <f t="shared" si="4"/>
        <v>100</v>
      </c>
    </row>
    <row r="304" spans="1:8">
      <c r="A304" s="605"/>
      <c r="B304" s="605"/>
      <c r="C304" s="445">
        <v>421</v>
      </c>
      <c r="D304" s="445">
        <v>0</v>
      </c>
      <c r="E304" s="451" t="s">
        <v>401</v>
      </c>
      <c r="F304" s="471">
        <v>54396</v>
      </c>
      <c r="G304" s="471">
        <v>54396</v>
      </c>
      <c r="H304" s="469">
        <f t="shared" si="4"/>
        <v>100</v>
      </c>
    </row>
    <row r="305" spans="1:8">
      <c r="A305" s="605"/>
      <c r="B305" s="605"/>
      <c r="C305" s="445">
        <v>426</v>
      </c>
      <c r="D305" s="445">
        <v>0</v>
      </c>
      <c r="E305" s="451" t="s">
        <v>410</v>
      </c>
      <c r="F305" s="471">
        <v>82712</v>
      </c>
      <c r="G305" s="471">
        <v>82712</v>
      </c>
      <c r="H305" s="469">
        <f t="shared" si="4"/>
        <v>100</v>
      </c>
    </row>
    <row r="306" spans="1:8">
      <c r="A306" s="605"/>
      <c r="B306" s="605"/>
      <c r="C306" s="445">
        <v>427</v>
      </c>
      <c r="D306" s="445">
        <v>0</v>
      </c>
      <c r="E306" s="451" t="s">
        <v>411</v>
      </c>
      <c r="F306" s="471">
        <v>9099</v>
      </c>
      <c r="G306" s="471">
        <v>9098.31</v>
      </c>
      <c r="H306" s="469">
        <f t="shared" si="4"/>
        <v>99.992416749093309</v>
      </c>
    </row>
    <row r="307" spans="1:8">
      <c r="A307" s="605"/>
      <c r="B307" s="605"/>
      <c r="C307" s="445">
        <v>428</v>
      </c>
      <c r="D307" s="445">
        <v>0</v>
      </c>
      <c r="E307" s="451" t="s">
        <v>412</v>
      </c>
      <c r="F307" s="471">
        <v>125</v>
      </c>
      <c r="G307" s="471">
        <v>125</v>
      </c>
      <c r="H307" s="469">
        <f t="shared" si="4"/>
        <v>100</v>
      </c>
    </row>
    <row r="308" spans="1:8">
      <c r="A308" s="605"/>
      <c r="B308" s="605"/>
      <c r="C308" s="445">
        <v>430</v>
      </c>
      <c r="D308" s="445">
        <v>0</v>
      </c>
      <c r="E308" s="451" t="s">
        <v>398</v>
      </c>
      <c r="F308" s="471">
        <v>7755</v>
      </c>
      <c r="G308" s="471">
        <v>7754.76</v>
      </c>
      <c r="H308" s="469">
        <f t="shared" si="4"/>
        <v>99.996905222437135</v>
      </c>
    </row>
    <row r="309" spans="1:8" ht="22.5">
      <c r="A309" s="605"/>
      <c r="B309" s="605"/>
      <c r="C309" s="445">
        <v>437</v>
      </c>
      <c r="D309" s="445">
        <v>0</v>
      </c>
      <c r="E309" s="452" t="s">
        <v>415</v>
      </c>
      <c r="F309" s="471">
        <v>2780</v>
      </c>
      <c r="G309" s="471">
        <v>2780</v>
      </c>
      <c r="H309" s="469">
        <f t="shared" si="4"/>
        <v>100</v>
      </c>
    </row>
    <row r="310" spans="1:8">
      <c r="A310" s="605"/>
      <c r="B310" s="605"/>
      <c r="C310" s="445">
        <v>444</v>
      </c>
      <c r="D310" s="445">
        <v>0</v>
      </c>
      <c r="E310" s="461" t="s">
        <v>417</v>
      </c>
      <c r="F310" s="471">
        <v>2068</v>
      </c>
      <c r="G310" s="471">
        <v>2068</v>
      </c>
      <c r="H310" s="469">
        <f t="shared" si="4"/>
        <v>100</v>
      </c>
    </row>
    <row r="311" spans="1:8">
      <c r="A311" s="605"/>
      <c r="B311" s="605"/>
      <c r="C311" s="445">
        <v>453</v>
      </c>
      <c r="D311" s="445">
        <v>0</v>
      </c>
      <c r="E311" s="452" t="s">
        <v>402</v>
      </c>
      <c r="F311" s="471">
        <v>10701</v>
      </c>
      <c r="G311" s="471">
        <v>10701</v>
      </c>
      <c r="H311" s="469">
        <f t="shared" si="4"/>
        <v>100</v>
      </c>
    </row>
    <row r="312" spans="1:8">
      <c r="A312" s="605"/>
      <c r="B312" s="434">
        <v>80144</v>
      </c>
      <c r="C312" s="445"/>
      <c r="D312" s="445"/>
      <c r="E312" s="457" t="s">
        <v>197</v>
      </c>
      <c r="F312" s="471">
        <f>SUM(F313:F318)</f>
        <v>281432.42</v>
      </c>
      <c r="G312" s="471">
        <f>SUM(G313:G318)</f>
        <v>182795.88999999998</v>
      </c>
      <c r="H312" s="469">
        <f t="shared" si="4"/>
        <v>64.951966088341919</v>
      </c>
    </row>
    <row r="313" spans="1:8" ht="22.5">
      <c r="A313" s="605"/>
      <c r="B313" s="612"/>
      <c r="C313" s="445">
        <v>254</v>
      </c>
      <c r="D313" s="445">
        <v>0</v>
      </c>
      <c r="E313" s="452" t="s">
        <v>449</v>
      </c>
      <c r="F313" s="471">
        <v>251365.03</v>
      </c>
      <c r="G313" s="471">
        <v>152728.5</v>
      </c>
      <c r="H313" s="469">
        <f t="shared" si="4"/>
        <v>60.75964504688659</v>
      </c>
    </row>
    <row r="314" spans="1:8">
      <c r="A314" s="605"/>
      <c r="B314" s="613"/>
      <c r="C314" s="445">
        <v>401</v>
      </c>
      <c r="D314" s="445">
        <v>0</v>
      </c>
      <c r="E314" s="451" t="s">
        <v>405</v>
      </c>
      <c r="F314" s="471">
        <v>24254.19</v>
      </c>
      <c r="G314" s="471">
        <v>24254.19</v>
      </c>
      <c r="H314" s="469">
        <f t="shared" si="4"/>
        <v>100</v>
      </c>
    </row>
    <row r="315" spans="1:8">
      <c r="A315" s="605"/>
      <c r="B315" s="613"/>
      <c r="C315" s="445">
        <v>411</v>
      </c>
      <c r="D315" s="445">
        <v>0</v>
      </c>
      <c r="E315" s="451" t="s">
        <v>407</v>
      </c>
      <c r="F315" s="471">
        <v>2255.09</v>
      </c>
      <c r="G315" s="471">
        <v>2255.09</v>
      </c>
      <c r="H315" s="469">
        <f t="shared" si="4"/>
        <v>100</v>
      </c>
    </row>
    <row r="316" spans="1:8">
      <c r="A316" s="605"/>
      <c r="B316" s="613"/>
      <c r="C316" s="445">
        <v>412</v>
      </c>
      <c r="D316" s="445">
        <v>0</v>
      </c>
      <c r="E316" s="451" t="s">
        <v>408</v>
      </c>
      <c r="F316" s="471">
        <v>327.11</v>
      </c>
      <c r="G316" s="471">
        <v>327.11</v>
      </c>
      <c r="H316" s="469">
        <f t="shared" si="4"/>
        <v>100</v>
      </c>
    </row>
    <row r="317" spans="1:8">
      <c r="A317" s="605"/>
      <c r="B317" s="613"/>
      <c r="C317" s="445">
        <v>421</v>
      </c>
      <c r="D317" s="445">
        <v>0</v>
      </c>
      <c r="E317" s="451" t="s">
        <v>401</v>
      </c>
      <c r="F317" s="471">
        <v>2000</v>
      </c>
      <c r="G317" s="471">
        <v>2000</v>
      </c>
      <c r="H317" s="469">
        <f t="shared" si="4"/>
        <v>100</v>
      </c>
    </row>
    <row r="318" spans="1:8">
      <c r="A318" s="605"/>
      <c r="B318" s="614"/>
      <c r="C318" s="445">
        <v>444</v>
      </c>
      <c r="D318" s="445">
        <v>0</v>
      </c>
      <c r="E318" s="461" t="s">
        <v>417</v>
      </c>
      <c r="F318" s="471">
        <v>1231</v>
      </c>
      <c r="G318" s="471">
        <v>1231</v>
      </c>
      <c r="H318" s="469">
        <f t="shared" si="4"/>
        <v>100</v>
      </c>
    </row>
    <row r="319" spans="1:8">
      <c r="A319" s="605"/>
      <c r="B319" s="434">
        <v>80146</v>
      </c>
      <c r="C319" s="445"/>
      <c r="D319" s="445"/>
      <c r="E319" s="457" t="s">
        <v>82</v>
      </c>
      <c r="F319" s="471">
        <f>SUM(F320:F325)</f>
        <v>66202.02</v>
      </c>
      <c r="G319" s="471">
        <f>SUM(G320:G325)</f>
        <v>47238.04</v>
      </c>
      <c r="H319" s="469">
        <f t="shared" si="4"/>
        <v>71.354378612616358</v>
      </c>
    </row>
    <row r="320" spans="1:8">
      <c r="A320" s="605"/>
      <c r="B320" s="605"/>
      <c r="C320" s="445">
        <v>302</v>
      </c>
      <c r="D320" s="445">
        <v>0</v>
      </c>
      <c r="E320" s="462" t="s">
        <v>404</v>
      </c>
      <c r="F320" s="471">
        <v>9394</v>
      </c>
      <c r="G320" s="471">
        <v>8550</v>
      </c>
      <c r="H320" s="469">
        <f t="shared" si="4"/>
        <v>91.015541835213966</v>
      </c>
    </row>
    <row r="321" spans="1:8">
      <c r="A321" s="605"/>
      <c r="B321" s="605"/>
      <c r="C321" s="445">
        <v>421</v>
      </c>
      <c r="D321" s="445">
        <v>0</v>
      </c>
      <c r="E321" s="451" t="s">
        <v>401</v>
      </c>
      <c r="F321" s="471">
        <v>3500</v>
      </c>
      <c r="G321" s="471">
        <v>2414.1799999999998</v>
      </c>
      <c r="H321" s="469">
        <f t="shared" si="4"/>
        <v>68.976571428571418</v>
      </c>
    </row>
    <row r="322" spans="1:8">
      <c r="A322" s="605"/>
      <c r="B322" s="605"/>
      <c r="C322" s="445">
        <v>424</v>
      </c>
      <c r="D322" s="445">
        <v>0</v>
      </c>
      <c r="E322" s="461" t="s">
        <v>431</v>
      </c>
      <c r="F322" s="471">
        <v>4265</v>
      </c>
      <c r="G322" s="471">
        <v>368</v>
      </c>
      <c r="H322" s="469">
        <f t="shared" si="4"/>
        <v>8.628370457209849</v>
      </c>
    </row>
    <row r="323" spans="1:8">
      <c r="A323" s="605"/>
      <c r="B323" s="605"/>
      <c r="C323" s="445">
        <v>430</v>
      </c>
      <c r="D323" s="445">
        <v>0</v>
      </c>
      <c r="E323" s="461" t="s">
        <v>398</v>
      </c>
      <c r="F323" s="471">
        <v>40695.620000000003</v>
      </c>
      <c r="G323" s="471">
        <v>30190.35</v>
      </c>
      <c r="H323" s="469">
        <f t="shared" si="4"/>
        <v>74.185747753689455</v>
      </c>
    </row>
    <row r="324" spans="1:8">
      <c r="A324" s="605"/>
      <c r="B324" s="605"/>
      <c r="C324" s="445">
        <v>441</v>
      </c>
      <c r="D324" s="445">
        <v>0</v>
      </c>
      <c r="E324" s="451" t="s">
        <v>416</v>
      </c>
      <c r="F324" s="471">
        <v>6593.35</v>
      </c>
      <c r="G324" s="471">
        <v>4212.46</v>
      </c>
      <c r="H324" s="469">
        <f t="shared" si="4"/>
        <v>63.889525051756692</v>
      </c>
    </row>
    <row r="325" spans="1:8" ht="22.5">
      <c r="A325" s="605"/>
      <c r="B325" s="605"/>
      <c r="C325" s="445">
        <v>470</v>
      </c>
      <c r="D325" s="445">
        <v>0</v>
      </c>
      <c r="E325" s="452" t="s">
        <v>422</v>
      </c>
      <c r="F325" s="471">
        <v>1754.05</v>
      </c>
      <c r="G325" s="471">
        <v>1503.05</v>
      </c>
      <c r="H325" s="469">
        <f t="shared" si="4"/>
        <v>85.690259684729625</v>
      </c>
    </row>
    <row r="326" spans="1:8">
      <c r="A326" s="605"/>
      <c r="B326" s="434">
        <v>80148</v>
      </c>
      <c r="C326" s="445"/>
      <c r="D326" s="445"/>
      <c r="E326" s="457" t="s">
        <v>168</v>
      </c>
      <c r="F326" s="471">
        <f>SUM(F327:F335)</f>
        <v>323744</v>
      </c>
      <c r="G326" s="471">
        <f>SUM(G327:G335)</f>
        <v>323744</v>
      </c>
      <c r="H326" s="469">
        <f t="shared" si="4"/>
        <v>100</v>
      </c>
    </row>
    <row r="327" spans="1:8">
      <c r="A327" s="605"/>
      <c r="B327" s="605"/>
      <c r="C327" s="445">
        <v>401</v>
      </c>
      <c r="D327" s="445">
        <v>0</v>
      </c>
      <c r="E327" s="461" t="s">
        <v>405</v>
      </c>
      <c r="F327" s="471">
        <v>86883</v>
      </c>
      <c r="G327" s="471">
        <v>86883</v>
      </c>
      <c r="H327" s="469">
        <f t="shared" si="4"/>
        <v>100</v>
      </c>
    </row>
    <row r="328" spans="1:8">
      <c r="A328" s="605"/>
      <c r="B328" s="605"/>
      <c r="C328" s="445">
        <v>404</v>
      </c>
      <c r="D328" s="445">
        <v>0</v>
      </c>
      <c r="E328" s="461" t="s">
        <v>406</v>
      </c>
      <c r="F328" s="471">
        <v>6894</v>
      </c>
      <c r="G328" s="471">
        <v>6894</v>
      </c>
      <c r="H328" s="469">
        <f t="shared" si="4"/>
        <v>100</v>
      </c>
    </row>
    <row r="329" spans="1:8">
      <c r="A329" s="605"/>
      <c r="B329" s="605"/>
      <c r="C329" s="445">
        <v>411</v>
      </c>
      <c r="D329" s="445">
        <v>0</v>
      </c>
      <c r="E329" s="461" t="s">
        <v>407</v>
      </c>
      <c r="F329" s="471">
        <v>13519</v>
      </c>
      <c r="G329" s="471">
        <v>13519</v>
      </c>
      <c r="H329" s="469">
        <f t="shared" si="4"/>
        <v>100</v>
      </c>
    </row>
    <row r="330" spans="1:8">
      <c r="A330" s="605"/>
      <c r="B330" s="605"/>
      <c r="C330" s="445">
        <v>412</v>
      </c>
      <c r="D330" s="445">
        <v>0</v>
      </c>
      <c r="E330" s="461" t="s">
        <v>408</v>
      </c>
      <c r="F330" s="471">
        <v>1503</v>
      </c>
      <c r="G330" s="471">
        <v>1503</v>
      </c>
      <c r="H330" s="469">
        <f t="shared" si="4"/>
        <v>100</v>
      </c>
    </row>
    <row r="331" spans="1:8">
      <c r="A331" s="605"/>
      <c r="B331" s="605"/>
      <c r="C331" s="445">
        <v>421</v>
      </c>
      <c r="D331" s="445">
        <v>0</v>
      </c>
      <c r="E331" s="451" t="s">
        <v>401</v>
      </c>
      <c r="F331" s="471">
        <v>17122</v>
      </c>
      <c r="G331" s="471">
        <v>17122</v>
      </c>
      <c r="H331" s="469">
        <f t="shared" si="4"/>
        <v>100</v>
      </c>
    </row>
    <row r="332" spans="1:8">
      <c r="A332" s="605"/>
      <c r="B332" s="605"/>
      <c r="C332" s="445">
        <v>422</v>
      </c>
      <c r="D332" s="445">
        <v>0</v>
      </c>
      <c r="E332" s="454" t="s">
        <v>452</v>
      </c>
      <c r="F332" s="471">
        <v>175773</v>
      </c>
      <c r="G332" s="471">
        <v>175773</v>
      </c>
      <c r="H332" s="469">
        <f t="shared" si="4"/>
        <v>100</v>
      </c>
    </row>
    <row r="333" spans="1:8">
      <c r="A333" s="605"/>
      <c r="B333" s="605"/>
      <c r="C333" s="445">
        <v>426</v>
      </c>
      <c r="D333" s="445">
        <v>0</v>
      </c>
      <c r="E333" s="451" t="s">
        <v>410</v>
      </c>
      <c r="F333" s="471">
        <v>6852</v>
      </c>
      <c r="G333" s="471">
        <v>6852</v>
      </c>
      <c r="H333" s="469">
        <f t="shared" ref="H333:H406" si="5">G333/F333*100</f>
        <v>100</v>
      </c>
    </row>
    <row r="334" spans="1:8">
      <c r="A334" s="605"/>
      <c r="B334" s="605"/>
      <c r="C334" s="445">
        <v>430</v>
      </c>
      <c r="D334" s="445">
        <v>0</v>
      </c>
      <c r="E334" s="451" t="s">
        <v>398</v>
      </c>
      <c r="F334" s="471">
        <v>10745</v>
      </c>
      <c r="G334" s="471">
        <v>10745</v>
      </c>
      <c r="H334" s="469">
        <f t="shared" si="5"/>
        <v>100</v>
      </c>
    </row>
    <row r="335" spans="1:8">
      <c r="A335" s="605"/>
      <c r="B335" s="605"/>
      <c r="C335" s="445">
        <v>444</v>
      </c>
      <c r="D335" s="445">
        <v>0</v>
      </c>
      <c r="E335" s="461" t="s">
        <v>417</v>
      </c>
      <c r="F335" s="471">
        <v>4453</v>
      </c>
      <c r="G335" s="471">
        <v>4453</v>
      </c>
      <c r="H335" s="469">
        <f t="shared" si="5"/>
        <v>100</v>
      </c>
    </row>
    <row r="336" spans="1:8">
      <c r="A336" s="605"/>
      <c r="B336" s="434">
        <v>80195</v>
      </c>
      <c r="C336" s="445"/>
      <c r="D336" s="445"/>
      <c r="E336" s="457" t="s">
        <v>72</v>
      </c>
      <c r="F336" s="471">
        <f>SUM(F337:F339)</f>
        <v>2897.44</v>
      </c>
      <c r="G336" s="471">
        <f>SUM(G337:G339)</f>
        <v>2831</v>
      </c>
      <c r="H336" s="469">
        <f t="shared" si="5"/>
        <v>97.70694129990612</v>
      </c>
    </row>
    <row r="337" spans="1:8">
      <c r="A337" s="605"/>
      <c r="B337" s="605"/>
      <c r="C337" s="445">
        <v>401</v>
      </c>
      <c r="D337" s="445">
        <v>0</v>
      </c>
      <c r="E337" s="461" t="s">
        <v>405</v>
      </c>
      <c r="F337" s="471">
        <v>66.44</v>
      </c>
      <c r="G337" s="471">
        <v>0</v>
      </c>
      <c r="H337" s="469">
        <f t="shared" si="5"/>
        <v>0</v>
      </c>
    </row>
    <row r="338" spans="1:8">
      <c r="A338" s="605"/>
      <c r="B338" s="605"/>
      <c r="C338" s="445">
        <v>417</v>
      </c>
      <c r="D338" s="445">
        <v>0</v>
      </c>
      <c r="E338" s="451" t="s">
        <v>409</v>
      </c>
      <c r="F338" s="471">
        <v>2160</v>
      </c>
      <c r="G338" s="471">
        <v>2160</v>
      </c>
      <c r="H338" s="469">
        <f t="shared" si="5"/>
        <v>100</v>
      </c>
    </row>
    <row r="339" spans="1:8">
      <c r="A339" s="605"/>
      <c r="B339" s="605"/>
      <c r="C339" s="445">
        <v>430</v>
      </c>
      <c r="D339" s="445">
        <v>0</v>
      </c>
      <c r="E339" s="451" t="s">
        <v>398</v>
      </c>
      <c r="F339" s="471">
        <v>671</v>
      </c>
      <c r="G339" s="471">
        <v>671</v>
      </c>
      <c r="H339" s="469">
        <f t="shared" si="5"/>
        <v>100</v>
      </c>
    </row>
    <row r="340" spans="1:8">
      <c r="A340" s="441">
        <v>851</v>
      </c>
      <c r="B340" s="441"/>
      <c r="C340" s="442"/>
      <c r="D340" s="442"/>
      <c r="E340" s="463" t="s">
        <v>32</v>
      </c>
      <c r="F340" s="470">
        <f>F341+F352+F355+F347+F350</f>
        <v>5928992.1200000001</v>
      </c>
      <c r="G340" s="470">
        <f>G341+G352+G355+G347+G350</f>
        <v>5907257.4399999995</v>
      </c>
      <c r="H340" s="468">
        <f t="shared" si="5"/>
        <v>99.633416952492084</v>
      </c>
    </row>
    <row r="341" spans="1:8">
      <c r="A341" s="605"/>
      <c r="B341" s="434">
        <v>85111</v>
      </c>
      <c r="C341" s="445"/>
      <c r="D341" s="445"/>
      <c r="E341" s="464" t="s">
        <v>83</v>
      </c>
      <c r="F341" s="471">
        <f>SUM(F342:F346)</f>
        <v>3496923.1500000004</v>
      </c>
      <c r="G341" s="471">
        <f>SUM(G342:G346)</f>
        <v>3475404.31</v>
      </c>
      <c r="H341" s="469">
        <f t="shared" si="5"/>
        <v>99.384635032657201</v>
      </c>
    </row>
    <row r="342" spans="1:8" ht="33.75" customHeight="1">
      <c r="A342" s="605"/>
      <c r="B342" s="605"/>
      <c r="C342" s="445">
        <v>416</v>
      </c>
      <c r="D342" s="445">
        <v>0</v>
      </c>
      <c r="E342" s="457" t="s">
        <v>453</v>
      </c>
      <c r="F342" s="471">
        <v>719376.33</v>
      </c>
      <c r="G342" s="471">
        <v>719376.33</v>
      </c>
      <c r="H342" s="469">
        <f t="shared" si="5"/>
        <v>100</v>
      </c>
    </row>
    <row r="343" spans="1:8">
      <c r="A343" s="605"/>
      <c r="B343" s="605"/>
      <c r="C343" s="445">
        <v>427</v>
      </c>
      <c r="D343" s="445">
        <v>0</v>
      </c>
      <c r="E343" s="451" t="s">
        <v>411</v>
      </c>
      <c r="F343" s="471">
        <v>20792.18</v>
      </c>
      <c r="G343" s="471">
        <v>0</v>
      </c>
      <c r="H343" s="469">
        <f t="shared" si="5"/>
        <v>0</v>
      </c>
    </row>
    <row r="344" spans="1:8">
      <c r="A344" s="605"/>
      <c r="B344" s="605"/>
      <c r="C344" s="445">
        <v>430</v>
      </c>
      <c r="D344" s="445">
        <v>0</v>
      </c>
      <c r="E344" s="451" t="s">
        <v>398</v>
      </c>
      <c r="F344" s="471">
        <v>1000</v>
      </c>
      <c r="G344" s="471">
        <v>273.33999999999997</v>
      </c>
      <c r="H344" s="469">
        <f t="shared" si="5"/>
        <v>27.333999999999996</v>
      </c>
    </row>
    <row r="345" spans="1:8">
      <c r="A345" s="605"/>
      <c r="B345" s="605"/>
      <c r="C345" s="445">
        <v>605</v>
      </c>
      <c r="D345" s="445">
        <v>0</v>
      </c>
      <c r="E345" s="446" t="s">
        <v>423</v>
      </c>
      <c r="F345" s="471">
        <v>2585754.64</v>
      </c>
      <c r="G345" s="471">
        <v>2585754.64</v>
      </c>
      <c r="H345" s="469">
        <f t="shared" si="5"/>
        <v>100</v>
      </c>
    </row>
    <row r="346" spans="1:8" ht="33.75" customHeight="1">
      <c r="A346" s="605"/>
      <c r="B346" s="605"/>
      <c r="C346" s="445">
        <v>622</v>
      </c>
      <c r="D346" s="445">
        <v>0</v>
      </c>
      <c r="E346" s="454" t="s">
        <v>454</v>
      </c>
      <c r="F346" s="471">
        <v>170000</v>
      </c>
      <c r="G346" s="471">
        <v>170000</v>
      </c>
      <c r="H346" s="469">
        <f t="shared" si="5"/>
        <v>100</v>
      </c>
    </row>
    <row r="347" spans="1:8">
      <c r="A347" s="605"/>
      <c r="B347" s="434">
        <v>85132</v>
      </c>
      <c r="C347" s="445"/>
      <c r="D347" s="445"/>
      <c r="E347" s="454" t="s">
        <v>359</v>
      </c>
      <c r="F347" s="471">
        <f>F348+F349</f>
        <v>4500</v>
      </c>
      <c r="G347" s="471">
        <f>G348+G349</f>
        <v>4497.72</v>
      </c>
      <c r="H347" s="469">
        <f t="shared" si="5"/>
        <v>99.949333333333328</v>
      </c>
    </row>
    <row r="348" spans="1:8">
      <c r="A348" s="605"/>
      <c r="B348" s="612"/>
      <c r="C348" s="445">
        <v>421</v>
      </c>
      <c r="D348" s="445">
        <v>0</v>
      </c>
      <c r="E348" s="451" t="s">
        <v>401</v>
      </c>
      <c r="F348" s="471">
        <v>2761.62</v>
      </c>
      <c r="G348" s="471">
        <v>2759.34</v>
      </c>
      <c r="H348" s="469">
        <f t="shared" si="5"/>
        <v>99.917439763617026</v>
      </c>
    </row>
    <row r="349" spans="1:8">
      <c r="A349" s="605"/>
      <c r="B349" s="614"/>
      <c r="C349" s="445">
        <v>430</v>
      </c>
      <c r="D349" s="445">
        <v>0</v>
      </c>
      <c r="E349" s="451" t="s">
        <v>398</v>
      </c>
      <c r="F349" s="471">
        <v>1738.38</v>
      </c>
      <c r="G349" s="471">
        <v>1738.38</v>
      </c>
      <c r="H349" s="469">
        <f t="shared" si="5"/>
        <v>100</v>
      </c>
    </row>
    <row r="350" spans="1:8">
      <c r="A350" s="605"/>
      <c r="B350" s="465">
        <v>85141</v>
      </c>
      <c r="C350" s="445"/>
      <c r="D350" s="445"/>
      <c r="E350" s="454" t="s">
        <v>455</v>
      </c>
      <c r="F350" s="471">
        <f>F351</f>
        <v>5000</v>
      </c>
      <c r="G350" s="471">
        <f>G351</f>
        <v>5000</v>
      </c>
      <c r="H350" s="469">
        <f t="shared" si="5"/>
        <v>100</v>
      </c>
    </row>
    <row r="351" spans="1:8" ht="35.25" customHeight="1">
      <c r="A351" s="605"/>
      <c r="B351" s="465"/>
      <c r="C351" s="445">
        <v>630</v>
      </c>
      <c r="D351" s="445">
        <v>0</v>
      </c>
      <c r="E351" s="454" t="s">
        <v>426</v>
      </c>
      <c r="F351" s="471">
        <v>5000</v>
      </c>
      <c r="G351" s="471">
        <v>5000</v>
      </c>
      <c r="H351" s="469">
        <f t="shared" si="5"/>
        <v>100</v>
      </c>
    </row>
    <row r="352" spans="1:8" ht="21.75" customHeight="1">
      <c r="A352" s="605"/>
      <c r="B352" s="434">
        <v>85156</v>
      </c>
      <c r="C352" s="445"/>
      <c r="D352" s="445"/>
      <c r="E352" s="466" t="s">
        <v>85</v>
      </c>
      <c r="F352" s="471">
        <f>F353+F354</f>
        <v>2421083.6800000002</v>
      </c>
      <c r="G352" s="471">
        <f>G353+G354</f>
        <v>2420870.12</v>
      </c>
      <c r="H352" s="469">
        <f t="shared" si="5"/>
        <v>99.991179156599813</v>
      </c>
    </row>
    <row r="353" spans="1:8">
      <c r="A353" s="605"/>
      <c r="B353" s="612"/>
      <c r="C353" s="445">
        <v>413</v>
      </c>
      <c r="D353" s="445">
        <v>0</v>
      </c>
      <c r="E353" s="461" t="s">
        <v>456</v>
      </c>
      <c r="F353" s="471">
        <v>2420800.33</v>
      </c>
      <c r="G353" s="471">
        <v>2420586.77</v>
      </c>
      <c r="H353" s="469">
        <f t="shared" si="5"/>
        <v>99.99117812413715</v>
      </c>
    </row>
    <row r="354" spans="1:8">
      <c r="A354" s="605"/>
      <c r="B354" s="614"/>
      <c r="C354" s="445">
        <v>458</v>
      </c>
      <c r="D354" s="445">
        <v>0</v>
      </c>
      <c r="E354" s="435" t="s">
        <v>57</v>
      </c>
      <c r="F354" s="471">
        <v>283.35000000000002</v>
      </c>
      <c r="G354" s="471">
        <v>283.35000000000002</v>
      </c>
      <c r="H354" s="469">
        <f t="shared" si="5"/>
        <v>100</v>
      </c>
    </row>
    <row r="355" spans="1:8">
      <c r="A355" s="605"/>
      <c r="B355" s="434">
        <v>85195</v>
      </c>
      <c r="C355" s="445"/>
      <c r="D355" s="445"/>
      <c r="E355" s="457" t="s">
        <v>72</v>
      </c>
      <c r="F355" s="471">
        <f>F356</f>
        <v>1485.29</v>
      </c>
      <c r="G355" s="471">
        <f>G356</f>
        <v>1485.29</v>
      </c>
      <c r="H355" s="469">
        <f t="shared" si="5"/>
        <v>100</v>
      </c>
    </row>
    <row r="356" spans="1:8">
      <c r="A356" s="605"/>
      <c r="B356" s="434"/>
      <c r="C356" s="445">
        <v>401</v>
      </c>
      <c r="D356" s="445">
        <v>0</v>
      </c>
      <c r="E356" s="461" t="s">
        <v>405</v>
      </c>
      <c r="F356" s="471">
        <v>1485.29</v>
      </c>
      <c r="G356" s="471">
        <v>1485.29</v>
      </c>
      <c r="H356" s="469">
        <f t="shared" si="5"/>
        <v>100</v>
      </c>
    </row>
    <row r="357" spans="1:8">
      <c r="A357" s="441">
        <v>852</v>
      </c>
      <c r="B357" s="441"/>
      <c r="C357" s="442"/>
      <c r="D357" s="442"/>
      <c r="E357" s="458" t="s">
        <v>33</v>
      </c>
      <c r="F357" s="470">
        <f>F358+F385+F388+F409+F416+F437+F458+F475+F479</f>
        <v>10604137.860000001</v>
      </c>
      <c r="G357" s="470">
        <f>G358+G385+G388+G409+G416+G437+G458+G475+G479</f>
        <v>10538600.360000001</v>
      </c>
      <c r="H357" s="468">
        <f t="shared" si="5"/>
        <v>99.381962957618512</v>
      </c>
    </row>
    <row r="358" spans="1:8">
      <c r="A358" s="605"/>
      <c r="B358" s="434">
        <v>85201</v>
      </c>
      <c r="C358" s="445"/>
      <c r="D358" s="445"/>
      <c r="E358" s="457" t="s">
        <v>86</v>
      </c>
      <c r="F358" s="471">
        <f>SUM(F359:F384)</f>
        <v>5476291.1600000001</v>
      </c>
      <c r="G358" s="471">
        <f>SUM(G359:G384)</f>
        <v>5421847.5100000007</v>
      </c>
      <c r="H358" s="469">
        <f t="shared" si="5"/>
        <v>99.005829887248012</v>
      </c>
    </row>
    <row r="359" spans="1:8" ht="22.5">
      <c r="A359" s="605"/>
      <c r="B359" s="605"/>
      <c r="C359" s="445">
        <v>232</v>
      </c>
      <c r="D359" s="445">
        <v>0</v>
      </c>
      <c r="E359" s="454" t="s">
        <v>457</v>
      </c>
      <c r="F359" s="471">
        <v>216823.21</v>
      </c>
      <c r="G359" s="471">
        <v>216823.21</v>
      </c>
      <c r="H359" s="469">
        <f t="shared" si="5"/>
        <v>100</v>
      </c>
    </row>
    <row r="360" spans="1:8" ht="45.75" customHeight="1">
      <c r="A360" s="605"/>
      <c r="B360" s="605"/>
      <c r="C360" s="445">
        <v>236</v>
      </c>
      <c r="D360" s="445">
        <v>0</v>
      </c>
      <c r="E360" s="454" t="s">
        <v>458</v>
      </c>
      <c r="F360" s="471">
        <v>2021684.85</v>
      </c>
      <c r="G360" s="471">
        <v>2010884.85</v>
      </c>
      <c r="H360" s="469"/>
    </row>
    <row r="361" spans="1:8" ht="23.25" customHeight="1">
      <c r="A361" s="605"/>
      <c r="B361" s="605"/>
      <c r="C361" s="445">
        <v>281</v>
      </c>
      <c r="D361" s="445">
        <v>0</v>
      </c>
      <c r="E361" s="456" t="s">
        <v>459</v>
      </c>
      <c r="F361" s="471">
        <v>1037451.1</v>
      </c>
      <c r="G361" s="471">
        <v>1037451.09</v>
      </c>
      <c r="H361" s="469">
        <f t="shared" si="5"/>
        <v>99.99999903609914</v>
      </c>
    </row>
    <row r="362" spans="1:8">
      <c r="A362" s="605"/>
      <c r="B362" s="605"/>
      <c r="C362" s="445">
        <v>302</v>
      </c>
      <c r="D362" s="445">
        <v>0</v>
      </c>
      <c r="E362" s="462" t="s">
        <v>404</v>
      </c>
      <c r="F362" s="471">
        <v>2009</v>
      </c>
      <c r="G362" s="471">
        <v>2008.07</v>
      </c>
      <c r="H362" s="469">
        <f t="shared" si="5"/>
        <v>99.953708312593321</v>
      </c>
    </row>
    <row r="363" spans="1:8">
      <c r="A363" s="605"/>
      <c r="B363" s="605"/>
      <c r="C363" s="445">
        <v>311</v>
      </c>
      <c r="D363" s="445">
        <v>0</v>
      </c>
      <c r="E363" s="461" t="s">
        <v>460</v>
      </c>
      <c r="F363" s="471">
        <v>173100</v>
      </c>
      <c r="G363" s="471">
        <v>171501.14</v>
      </c>
      <c r="H363" s="469">
        <f t="shared" si="5"/>
        <v>99.076337377238602</v>
      </c>
    </row>
    <row r="364" spans="1:8">
      <c r="A364" s="605"/>
      <c r="B364" s="605"/>
      <c r="C364" s="445">
        <v>401</v>
      </c>
      <c r="D364" s="445">
        <v>0</v>
      </c>
      <c r="E364" s="461" t="s">
        <v>405</v>
      </c>
      <c r="F364" s="471">
        <v>1074821</v>
      </c>
      <c r="G364" s="471">
        <v>1043223.22</v>
      </c>
      <c r="H364" s="469">
        <f t="shared" si="5"/>
        <v>97.060182114045034</v>
      </c>
    </row>
    <row r="365" spans="1:8">
      <c r="A365" s="605"/>
      <c r="B365" s="605"/>
      <c r="C365" s="445">
        <v>404</v>
      </c>
      <c r="D365" s="445">
        <v>0</v>
      </c>
      <c r="E365" s="461" t="s">
        <v>406</v>
      </c>
      <c r="F365" s="471">
        <v>79625</v>
      </c>
      <c r="G365" s="471">
        <v>79624.36</v>
      </c>
      <c r="H365" s="469">
        <f t="shared" si="5"/>
        <v>99.999196232339088</v>
      </c>
    </row>
    <row r="366" spans="1:8">
      <c r="A366" s="605"/>
      <c r="B366" s="605"/>
      <c r="C366" s="445">
        <v>411</v>
      </c>
      <c r="D366" s="445">
        <v>0</v>
      </c>
      <c r="E366" s="461" t="s">
        <v>407</v>
      </c>
      <c r="F366" s="471">
        <v>178344</v>
      </c>
      <c r="G366" s="471">
        <v>172404.47</v>
      </c>
      <c r="H366" s="469">
        <f t="shared" si="5"/>
        <v>96.669621630108111</v>
      </c>
    </row>
    <row r="367" spans="1:8">
      <c r="A367" s="605"/>
      <c r="B367" s="605"/>
      <c r="C367" s="445">
        <v>412</v>
      </c>
      <c r="D367" s="445">
        <v>0</v>
      </c>
      <c r="E367" s="461" t="s">
        <v>408</v>
      </c>
      <c r="F367" s="471">
        <v>28526</v>
      </c>
      <c r="G367" s="471">
        <v>24086.82</v>
      </c>
      <c r="H367" s="469">
        <f t="shared" si="5"/>
        <v>84.43812662132791</v>
      </c>
    </row>
    <row r="368" spans="1:8">
      <c r="A368" s="605"/>
      <c r="B368" s="605"/>
      <c r="C368" s="445">
        <v>417</v>
      </c>
      <c r="D368" s="445">
        <v>0</v>
      </c>
      <c r="E368" s="451" t="s">
        <v>409</v>
      </c>
      <c r="F368" s="471">
        <v>24291</v>
      </c>
      <c r="G368" s="471">
        <v>24290.32</v>
      </c>
      <c r="H368" s="469">
        <f t="shared" si="5"/>
        <v>99.997200609279162</v>
      </c>
    </row>
    <row r="369" spans="1:8">
      <c r="A369" s="605"/>
      <c r="B369" s="605"/>
      <c r="C369" s="445">
        <v>421</v>
      </c>
      <c r="D369" s="445">
        <v>0</v>
      </c>
      <c r="E369" s="461" t="s">
        <v>401</v>
      </c>
      <c r="F369" s="471">
        <v>138405</v>
      </c>
      <c r="G369" s="471">
        <v>138404.71</v>
      </c>
      <c r="H369" s="469">
        <f t="shared" si="5"/>
        <v>99.999790469997464</v>
      </c>
    </row>
    <row r="370" spans="1:8">
      <c r="A370" s="605"/>
      <c r="B370" s="605"/>
      <c r="C370" s="445">
        <v>422</v>
      </c>
      <c r="D370" s="445">
        <v>0</v>
      </c>
      <c r="E370" s="461" t="s">
        <v>452</v>
      </c>
      <c r="F370" s="471">
        <v>141105</v>
      </c>
      <c r="G370" s="471">
        <v>141104.79</v>
      </c>
      <c r="H370" s="469">
        <f t="shared" si="5"/>
        <v>99.999851174657167</v>
      </c>
    </row>
    <row r="371" spans="1:8">
      <c r="A371" s="605"/>
      <c r="B371" s="605"/>
      <c r="C371" s="445">
        <v>424</v>
      </c>
      <c r="D371" s="445">
        <v>0</v>
      </c>
      <c r="E371" s="461" t="s">
        <v>431</v>
      </c>
      <c r="F371" s="471">
        <v>28540</v>
      </c>
      <c r="G371" s="471">
        <v>28540</v>
      </c>
      <c r="H371" s="469">
        <f t="shared" si="5"/>
        <v>100</v>
      </c>
    </row>
    <row r="372" spans="1:8">
      <c r="A372" s="605"/>
      <c r="B372" s="605"/>
      <c r="C372" s="445">
        <v>426</v>
      </c>
      <c r="D372" s="445">
        <v>0</v>
      </c>
      <c r="E372" s="461" t="s">
        <v>410</v>
      </c>
      <c r="F372" s="471">
        <v>98083</v>
      </c>
      <c r="G372" s="471">
        <v>98083</v>
      </c>
      <c r="H372" s="469">
        <f t="shared" si="5"/>
        <v>100</v>
      </c>
    </row>
    <row r="373" spans="1:8">
      <c r="A373" s="605"/>
      <c r="B373" s="605"/>
      <c r="C373" s="445">
        <v>427</v>
      </c>
      <c r="D373" s="445">
        <v>0</v>
      </c>
      <c r="E373" s="461" t="s">
        <v>411</v>
      </c>
      <c r="F373" s="471">
        <v>30477</v>
      </c>
      <c r="G373" s="471">
        <v>30476.77</v>
      </c>
      <c r="H373" s="469">
        <f t="shared" si="5"/>
        <v>99.999245332545854</v>
      </c>
    </row>
    <row r="374" spans="1:8">
      <c r="A374" s="605"/>
      <c r="B374" s="605"/>
      <c r="C374" s="445">
        <v>428</v>
      </c>
      <c r="D374" s="445">
        <v>0</v>
      </c>
      <c r="E374" s="451" t="s">
        <v>412</v>
      </c>
      <c r="F374" s="471">
        <v>3660</v>
      </c>
      <c r="G374" s="471">
        <v>3598</v>
      </c>
      <c r="H374" s="469">
        <f t="shared" si="5"/>
        <v>98.306010928961754</v>
      </c>
    </row>
    <row r="375" spans="1:8">
      <c r="A375" s="605"/>
      <c r="B375" s="605"/>
      <c r="C375" s="445">
        <v>430</v>
      </c>
      <c r="D375" s="445">
        <v>0</v>
      </c>
      <c r="E375" s="461" t="s">
        <v>398</v>
      </c>
      <c r="F375" s="471">
        <v>97959</v>
      </c>
      <c r="G375" s="471">
        <v>97958.53</v>
      </c>
      <c r="H375" s="469">
        <f t="shared" si="5"/>
        <v>99.999520207433719</v>
      </c>
    </row>
    <row r="376" spans="1:8">
      <c r="A376" s="605"/>
      <c r="B376" s="605"/>
      <c r="C376" s="445">
        <v>435</v>
      </c>
      <c r="D376" s="445">
        <v>0</v>
      </c>
      <c r="E376" s="451" t="s">
        <v>461</v>
      </c>
      <c r="F376" s="471">
        <v>317</v>
      </c>
      <c r="G376" s="471">
        <v>316.64</v>
      </c>
      <c r="H376" s="469">
        <f t="shared" si="5"/>
        <v>99.886435331230288</v>
      </c>
    </row>
    <row r="377" spans="1:8" ht="22.5">
      <c r="A377" s="605"/>
      <c r="B377" s="605"/>
      <c r="C377" s="445">
        <v>436</v>
      </c>
      <c r="D377" s="445">
        <v>0</v>
      </c>
      <c r="E377" s="452" t="s">
        <v>414</v>
      </c>
      <c r="F377" s="471">
        <v>4441</v>
      </c>
      <c r="G377" s="471">
        <v>4440.45</v>
      </c>
      <c r="H377" s="469">
        <f t="shared" si="5"/>
        <v>99.987615401936495</v>
      </c>
    </row>
    <row r="378" spans="1:8" ht="22.5">
      <c r="A378" s="605"/>
      <c r="B378" s="605"/>
      <c r="C378" s="445">
        <v>437</v>
      </c>
      <c r="D378" s="445">
        <v>0</v>
      </c>
      <c r="E378" s="452" t="s">
        <v>415</v>
      </c>
      <c r="F378" s="471">
        <v>4266</v>
      </c>
      <c r="G378" s="471">
        <v>4265.21</v>
      </c>
      <c r="H378" s="469">
        <f t="shared" si="5"/>
        <v>99.981481481481481</v>
      </c>
    </row>
    <row r="379" spans="1:8">
      <c r="A379" s="605"/>
      <c r="B379" s="605"/>
      <c r="C379" s="445">
        <v>441</v>
      </c>
      <c r="D379" s="445">
        <v>0</v>
      </c>
      <c r="E379" s="461" t="s">
        <v>416</v>
      </c>
      <c r="F379" s="471">
        <v>4719</v>
      </c>
      <c r="G379" s="471">
        <v>4718.1899999999996</v>
      </c>
      <c r="H379" s="469">
        <f t="shared" si="5"/>
        <v>99.982835346471703</v>
      </c>
    </row>
    <row r="380" spans="1:8">
      <c r="A380" s="605"/>
      <c r="B380" s="605"/>
      <c r="C380" s="445">
        <v>443</v>
      </c>
      <c r="D380" s="445">
        <v>0</v>
      </c>
      <c r="E380" s="461" t="s">
        <v>429</v>
      </c>
      <c r="F380" s="471">
        <v>855</v>
      </c>
      <c r="G380" s="471">
        <v>854.67</v>
      </c>
      <c r="H380" s="469">
        <f t="shared" si="5"/>
        <v>99.961403508771923</v>
      </c>
    </row>
    <row r="381" spans="1:8">
      <c r="A381" s="605"/>
      <c r="B381" s="605"/>
      <c r="C381" s="445">
        <v>444</v>
      </c>
      <c r="D381" s="445">
        <v>0</v>
      </c>
      <c r="E381" s="461" t="s">
        <v>417</v>
      </c>
      <c r="F381" s="471">
        <v>66516</v>
      </c>
      <c r="G381" s="471">
        <v>66516</v>
      </c>
      <c r="H381" s="469">
        <f t="shared" si="5"/>
        <v>100</v>
      </c>
    </row>
    <row r="382" spans="1:8">
      <c r="A382" s="605"/>
      <c r="B382" s="605"/>
      <c r="C382" s="445">
        <v>448</v>
      </c>
      <c r="D382" s="445">
        <v>0</v>
      </c>
      <c r="E382" s="461" t="s">
        <v>418</v>
      </c>
      <c r="F382" s="471">
        <v>4884</v>
      </c>
      <c r="G382" s="471">
        <v>4884</v>
      </c>
      <c r="H382" s="469">
        <f t="shared" si="5"/>
        <v>100</v>
      </c>
    </row>
    <row r="383" spans="1:8" ht="22.5">
      <c r="A383" s="605"/>
      <c r="B383" s="605"/>
      <c r="C383" s="445">
        <v>470</v>
      </c>
      <c r="D383" s="445">
        <v>0</v>
      </c>
      <c r="E383" s="452" t="s">
        <v>422</v>
      </c>
      <c r="F383" s="471">
        <v>1859</v>
      </c>
      <c r="G383" s="471">
        <v>1859</v>
      </c>
      <c r="H383" s="469">
        <f t="shared" si="5"/>
        <v>100</v>
      </c>
    </row>
    <row r="384" spans="1:8">
      <c r="A384" s="605"/>
      <c r="B384" s="605"/>
      <c r="C384" s="445">
        <v>605</v>
      </c>
      <c r="D384" s="445">
        <v>0</v>
      </c>
      <c r="E384" s="452" t="s">
        <v>423</v>
      </c>
      <c r="F384" s="471">
        <v>13530</v>
      </c>
      <c r="G384" s="471">
        <v>13530</v>
      </c>
      <c r="H384" s="469">
        <f t="shared" si="5"/>
        <v>100</v>
      </c>
    </row>
    <row r="385" spans="1:8">
      <c r="A385" s="605"/>
      <c r="B385" s="434">
        <v>85202</v>
      </c>
      <c r="C385" s="445"/>
      <c r="D385" s="445"/>
      <c r="E385" s="457" t="s">
        <v>87</v>
      </c>
      <c r="F385" s="471">
        <f>SUM(F386:F387)</f>
        <v>1774398</v>
      </c>
      <c r="G385" s="471">
        <f>SUM(G386:G387)</f>
        <v>1774398</v>
      </c>
      <c r="H385" s="469">
        <f t="shared" si="5"/>
        <v>100</v>
      </c>
    </row>
    <row r="386" spans="1:8" ht="25.5" customHeight="1">
      <c r="A386" s="605"/>
      <c r="B386" s="605"/>
      <c r="C386" s="445">
        <v>282</v>
      </c>
      <c r="D386" s="445">
        <v>0</v>
      </c>
      <c r="E386" s="454" t="s">
        <v>462</v>
      </c>
      <c r="F386" s="471">
        <v>1709738</v>
      </c>
      <c r="G386" s="471">
        <v>1709738</v>
      </c>
      <c r="H386" s="469">
        <f t="shared" si="5"/>
        <v>100</v>
      </c>
    </row>
    <row r="387" spans="1:8">
      <c r="A387" s="605"/>
      <c r="B387" s="605"/>
      <c r="C387" s="445">
        <v>605</v>
      </c>
      <c r="D387" s="445">
        <v>0</v>
      </c>
      <c r="E387" s="452" t="s">
        <v>423</v>
      </c>
      <c r="F387" s="471">
        <v>64660</v>
      </c>
      <c r="G387" s="471">
        <v>64660</v>
      </c>
      <c r="H387" s="469">
        <f t="shared" si="5"/>
        <v>100</v>
      </c>
    </row>
    <row r="388" spans="1:8">
      <c r="A388" s="605"/>
      <c r="B388" s="434">
        <v>85203</v>
      </c>
      <c r="C388" s="445"/>
      <c r="D388" s="445"/>
      <c r="E388" s="457" t="s">
        <v>88</v>
      </c>
      <c r="F388" s="471">
        <f>SUM(F389:F408)</f>
        <v>467102.19</v>
      </c>
      <c r="G388" s="471">
        <f>SUM(G389:G408)</f>
        <v>467093.7900000001</v>
      </c>
      <c r="H388" s="469">
        <f t="shared" si="5"/>
        <v>99.998201678309428</v>
      </c>
    </row>
    <row r="389" spans="1:8">
      <c r="A389" s="605"/>
      <c r="B389" s="605"/>
      <c r="C389" s="445">
        <v>302</v>
      </c>
      <c r="D389" s="445">
        <v>0</v>
      </c>
      <c r="E389" s="462" t="s">
        <v>404</v>
      </c>
      <c r="F389" s="471">
        <v>638</v>
      </c>
      <c r="G389" s="471">
        <v>637.73</v>
      </c>
      <c r="H389" s="469">
        <f t="shared" si="5"/>
        <v>99.957680250783696</v>
      </c>
    </row>
    <row r="390" spans="1:8">
      <c r="A390" s="605"/>
      <c r="B390" s="605"/>
      <c r="C390" s="445">
        <v>401</v>
      </c>
      <c r="D390" s="445">
        <v>0</v>
      </c>
      <c r="E390" s="461" t="s">
        <v>405</v>
      </c>
      <c r="F390" s="471">
        <v>296173</v>
      </c>
      <c r="G390" s="471">
        <v>296172.64</v>
      </c>
      <c r="H390" s="469">
        <f t="shared" si="5"/>
        <v>99.999878449419768</v>
      </c>
    </row>
    <row r="391" spans="1:8">
      <c r="A391" s="605"/>
      <c r="B391" s="605"/>
      <c r="C391" s="445">
        <v>404</v>
      </c>
      <c r="D391" s="445">
        <v>0</v>
      </c>
      <c r="E391" s="461" t="s">
        <v>406</v>
      </c>
      <c r="F391" s="471">
        <v>17392</v>
      </c>
      <c r="G391" s="471">
        <v>17391.41</v>
      </c>
      <c r="H391" s="469">
        <f t="shared" si="5"/>
        <v>99.996607635694573</v>
      </c>
    </row>
    <row r="392" spans="1:8">
      <c r="A392" s="605"/>
      <c r="B392" s="605"/>
      <c r="C392" s="445">
        <v>411</v>
      </c>
      <c r="D392" s="445">
        <v>0</v>
      </c>
      <c r="E392" s="461" t="s">
        <v>407</v>
      </c>
      <c r="F392" s="471">
        <v>46564</v>
      </c>
      <c r="G392" s="471">
        <v>46563.33</v>
      </c>
      <c r="H392" s="469">
        <f t="shared" si="5"/>
        <v>99.998561120178692</v>
      </c>
    </row>
    <row r="393" spans="1:8">
      <c r="A393" s="605"/>
      <c r="B393" s="605"/>
      <c r="C393" s="445">
        <v>412</v>
      </c>
      <c r="D393" s="445">
        <v>0</v>
      </c>
      <c r="E393" s="461" t="s">
        <v>408</v>
      </c>
      <c r="F393" s="471">
        <v>3912</v>
      </c>
      <c r="G393" s="471">
        <v>3911.15</v>
      </c>
      <c r="H393" s="469">
        <f t="shared" si="5"/>
        <v>99.978271983640084</v>
      </c>
    </row>
    <row r="394" spans="1:8">
      <c r="A394" s="605"/>
      <c r="B394" s="605"/>
      <c r="C394" s="445">
        <v>417</v>
      </c>
      <c r="D394" s="445">
        <v>0</v>
      </c>
      <c r="E394" s="451" t="s">
        <v>409</v>
      </c>
      <c r="F394" s="471">
        <v>10640</v>
      </c>
      <c r="G394" s="471">
        <v>10640</v>
      </c>
      <c r="H394" s="469">
        <f t="shared" si="5"/>
        <v>100</v>
      </c>
    </row>
    <row r="395" spans="1:8">
      <c r="A395" s="605"/>
      <c r="B395" s="605"/>
      <c r="C395" s="445">
        <v>421</v>
      </c>
      <c r="D395" s="445">
        <v>0</v>
      </c>
      <c r="E395" s="461" t="s">
        <v>401</v>
      </c>
      <c r="F395" s="471">
        <v>37156</v>
      </c>
      <c r="G395" s="471">
        <v>37155.49</v>
      </c>
      <c r="H395" s="469">
        <f t="shared" si="5"/>
        <v>99.998627408763056</v>
      </c>
    </row>
    <row r="396" spans="1:8">
      <c r="A396" s="605"/>
      <c r="B396" s="605"/>
      <c r="C396" s="445">
        <v>426</v>
      </c>
      <c r="D396" s="445">
        <v>0</v>
      </c>
      <c r="E396" s="461" t="s">
        <v>410</v>
      </c>
      <c r="F396" s="471">
        <v>8000</v>
      </c>
      <c r="G396" s="471">
        <v>7999.34</v>
      </c>
      <c r="H396" s="469">
        <f t="shared" si="5"/>
        <v>99.991749999999996</v>
      </c>
    </row>
    <row r="397" spans="1:8">
      <c r="A397" s="605"/>
      <c r="B397" s="605"/>
      <c r="C397" s="445">
        <v>427</v>
      </c>
      <c r="D397" s="445">
        <v>0</v>
      </c>
      <c r="E397" s="461" t="s">
        <v>411</v>
      </c>
      <c r="F397" s="471">
        <v>3739</v>
      </c>
      <c r="G397" s="471">
        <v>3738.93</v>
      </c>
      <c r="H397" s="469">
        <f t="shared" si="5"/>
        <v>99.998127841668889</v>
      </c>
    </row>
    <row r="398" spans="1:8">
      <c r="A398" s="605"/>
      <c r="B398" s="605"/>
      <c r="C398" s="445">
        <v>428</v>
      </c>
      <c r="D398" s="445">
        <v>0</v>
      </c>
      <c r="E398" s="451" t="s">
        <v>412</v>
      </c>
      <c r="F398" s="471">
        <v>120</v>
      </c>
      <c r="G398" s="471">
        <v>120</v>
      </c>
      <c r="H398" s="469">
        <f t="shared" si="5"/>
        <v>100</v>
      </c>
    </row>
    <row r="399" spans="1:8">
      <c r="A399" s="605"/>
      <c r="B399" s="605"/>
      <c r="C399" s="445">
        <v>430</v>
      </c>
      <c r="D399" s="445">
        <v>0</v>
      </c>
      <c r="E399" s="461" t="s">
        <v>398</v>
      </c>
      <c r="F399" s="471">
        <v>19859.189999999999</v>
      </c>
      <c r="G399" s="471">
        <v>19859.18</v>
      </c>
      <c r="H399" s="469">
        <f t="shared" si="5"/>
        <v>99.999949645479006</v>
      </c>
    </row>
    <row r="400" spans="1:8">
      <c r="A400" s="605"/>
      <c r="B400" s="605"/>
      <c r="C400" s="445">
        <v>435</v>
      </c>
      <c r="D400" s="445">
        <v>0</v>
      </c>
      <c r="E400" s="452" t="s">
        <v>413</v>
      </c>
      <c r="F400" s="471">
        <v>806</v>
      </c>
      <c r="G400" s="471">
        <v>805.2</v>
      </c>
      <c r="H400" s="469">
        <f t="shared" si="5"/>
        <v>99.900744416873451</v>
      </c>
    </row>
    <row r="401" spans="1:8" ht="22.5">
      <c r="A401" s="605"/>
      <c r="B401" s="605"/>
      <c r="C401" s="445">
        <v>436</v>
      </c>
      <c r="D401" s="445">
        <v>0</v>
      </c>
      <c r="E401" s="452" t="s">
        <v>414</v>
      </c>
      <c r="F401" s="471">
        <v>2150</v>
      </c>
      <c r="G401" s="471">
        <v>2149.15</v>
      </c>
      <c r="H401" s="469">
        <f t="shared" si="5"/>
        <v>99.960465116279067</v>
      </c>
    </row>
    <row r="402" spans="1:8" ht="22.5">
      <c r="A402" s="605"/>
      <c r="B402" s="605"/>
      <c r="C402" s="445">
        <v>437</v>
      </c>
      <c r="D402" s="445">
        <v>0</v>
      </c>
      <c r="E402" s="452" t="s">
        <v>415</v>
      </c>
      <c r="F402" s="471">
        <v>2110</v>
      </c>
      <c r="G402" s="471">
        <v>2109.2800000000002</v>
      </c>
      <c r="H402" s="469">
        <f t="shared" si="5"/>
        <v>99.965876777251196</v>
      </c>
    </row>
    <row r="403" spans="1:8">
      <c r="A403" s="605"/>
      <c r="B403" s="605"/>
      <c r="C403" s="445">
        <v>441</v>
      </c>
      <c r="D403" s="445">
        <v>0</v>
      </c>
      <c r="E403" s="461" t="s">
        <v>416</v>
      </c>
      <c r="F403" s="471">
        <v>796</v>
      </c>
      <c r="G403" s="471">
        <v>795.53</v>
      </c>
      <c r="H403" s="469">
        <f t="shared" si="5"/>
        <v>99.940954773869336</v>
      </c>
    </row>
    <row r="404" spans="1:8">
      <c r="A404" s="605"/>
      <c r="B404" s="605"/>
      <c r="C404" s="445">
        <v>443</v>
      </c>
      <c r="D404" s="445">
        <v>0</v>
      </c>
      <c r="E404" s="461" t="s">
        <v>429</v>
      </c>
      <c r="F404" s="471">
        <v>167</v>
      </c>
      <c r="G404" s="471">
        <v>167</v>
      </c>
      <c r="H404" s="469">
        <f t="shared" si="5"/>
        <v>100</v>
      </c>
    </row>
    <row r="405" spans="1:8">
      <c r="A405" s="605"/>
      <c r="B405" s="605"/>
      <c r="C405" s="445">
        <v>444</v>
      </c>
      <c r="D405" s="445">
        <v>0</v>
      </c>
      <c r="E405" s="461" t="s">
        <v>417</v>
      </c>
      <c r="F405" s="471">
        <v>10710</v>
      </c>
      <c r="G405" s="471">
        <v>10709.57</v>
      </c>
      <c r="H405" s="469">
        <f t="shared" si="5"/>
        <v>99.995985060690941</v>
      </c>
    </row>
    <row r="406" spans="1:8">
      <c r="A406" s="605"/>
      <c r="B406" s="605"/>
      <c r="C406" s="445">
        <v>448</v>
      </c>
      <c r="D406" s="445">
        <v>0</v>
      </c>
      <c r="E406" s="461" t="s">
        <v>418</v>
      </c>
      <c r="F406" s="471">
        <v>3896</v>
      </c>
      <c r="G406" s="471">
        <v>3896</v>
      </c>
      <c r="H406" s="469">
        <f t="shared" si="5"/>
        <v>100</v>
      </c>
    </row>
    <row r="407" spans="1:8">
      <c r="A407" s="605"/>
      <c r="B407" s="605"/>
      <c r="C407" s="445">
        <v>452</v>
      </c>
      <c r="D407" s="445">
        <v>0</v>
      </c>
      <c r="E407" s="461" t="s">
        <v>420</v>
      </c>
      <c r="F407" s="471">
        <v>634</v>
      </c>
      <c r="G407" s="471">
        <v>633.55999999999995</v>
      </c>
      <c r="H407" s="469">
        <f t="shared" ref="H407:H470" si="6">G407/F407*100</f>
        <v>99.930599369085158</v>
      </c>
    </row>
    <row r="408" spans="1:8" ht="22.5">
      <c r="A408" s="605"/>
      <c r="B408" s="605"/>
      <c r="C408" s="445">
        <v>470</v>
      </c>
      <c r="D408" s="445">
        <v>0</v>
      </c>
      <c r="E408" s="452" t="s">
        <v>422</v>
      </c>
      <c r="F408" s="471">
        <v>1640</v>
      </c>
      <c r="G408" s="471">
        <v>1639.3</v>
      </c>
      <c r="H408" s="469">
        <f t="shared" si="6"/>
        <v>99.957317073170728</v>
      </c>
    </row>
    <row r="409" spans="1:8">
      <c r="A409" s="605"/>
      <c r="B409" s="434">
        <v>85204</v>
      </c>
      <c r="C409" s="445"/>
      <c r="D409" s="445"/>
      <c r="E409" s="457" t="s">
        <v>111</v>
      </c>
      <c r="F409" s="471">
        <f>SUM(F410:F415)</f>
        <v>1663556.44</v>
      </c>
      <c r="G409" s="471">
        <f>SUM(G410:G415)</f>
        <v>1660443.45</v>
      </c>
      <c r="H409" s="469">
        <f t="shared" si="6"/>
        <v>99.81287139256905</v>
      </c>
    </row>
    <row r="410" spans="1:8" ht="22.5">
      <c r="A410" s="605"/>
      <c r="B410" s="612"/>
      <c r="C410" s="445">
        <v>232</v>
      </c>
      <c r="D410" s="445">
        <v>0</v>
      </c>
      <c r="E410" s="454" t="s">
        <v>463</v>
      </c>
      <c r="F410" s="471">
        <v>170608.44</v>
      </c>
      <c r="G410" s="471">
        <v>170489.63</v>
      </c>
      <c r="H410" s="469">
        <f t="shared" si="6"/>
        <v>99.930361006759099</v>
      </c>
    </row>
    <row r="411" spans="1:8">
      <c r="A411" s="605"/>
      <c r="B411" s="613"/>
      <c r="C411" s="445">
        <v>311</v>
      </c>
      <c r="D411" s="445">
        <v>0</v>
      </c>
      <c r="E411" s="351" t="s">
        <v>460</v>
      </c>
      <c r="F411" s="471">
        <v>1258587</v>
      </c>
      <c r="G411" s="471">
        <v>1258333.49</v>
      </c>
      <c r="H411" s="469">
        <f t="shared" si="6"/>
        <v>99.979857570434149</v>
      </c>
    </row>
    <row r="412" spans="1:8">
      <c r="A412" s="605"/>
      <c r="B412" s="613"/>
      <c r="C412" s="445">
        <v>411</v>
      </c>
      <c r="D412" s="445">
        <v>0</v>
      </c>
      <c r="E412" s="461" t="s">
        <v>407</v>
      </c>
      <c r="F412" s="471">
        <v>27458</v>
      </c>
      <c r="G412" s="471">
        <v>27190.89</v>
      </c>
      <c r="H412" s="469">
        <f t="shared" si="6"/>
        <v>99.027205186102407</v>
      </c>
    </row>
    <row r="413" spans="1:8">
      <c r="A413" s="605"/>
      <c r="B413" s="613"/>
      <c r="C413" s="445">
        <v>412</v>
      </c>
      <c r="D413" s="445">
        <v>0</v>
      </c>
      <c r="E413" s="461" t="s">
        <v>408</v>
      </c>
      <c r="F413" s="471">
        <v>4400</v>
      </c>
      <c r="G413" s="471">
        <v>4356.91</v>
      </c>
      <c r="H413" s="469">
        <f t="shared" si="6"/>
        <v>99.020681818181814</v>
      </c>
    </row>
    <row r="414" spans="1:8">
      <c r="A414" s="605"/>
      <c r="B414" s="613"/>
      <c r="C414" s="445">
        <v>417</v>
      </c>
      <c r="D414" s="445">
        <v>0</v>
      </c>
      <c r="E414" s="451" t="s">
        <v>409</v>
      </c>
      <c r="F414" s="471">
        <v>196075</v>
      </c>
      <c r="G414" s="471">
        <v>196074.2</v>
      </c>
      <c r="H414" s="469">
        <f t="shared" si="6"/>
        <v>99.999591992859877</v>
      </c>
    </row>
    <row r="415" spans="1:8">
      <c r="A415" s="605"/>
      <c r="B415" s="614"/>
      <c r="C415" s="445">
        <v>430</v>
      </c>
      <c r="D415" s="445">
        <v>0</v>
      </c>
      <c r="E415" s="461" t="s">
        <v>398</v>
      </c>
      <c r="F415" s="471">
        <v>6428</v>
      </c>
      <c r="G415" s="471">
        <v>3998.33</v>
      </c>
      <c r="H415" s="469">
        <f t="shared" si="6"/>
        <v>62.201773490976976</v>
      </c>
    </row>
    <row r="416" spans="1:8">
      <c r="A416" s="605"/>
      <c r="B416" s="434">
        <v>85205</v>
      </c>
      <c r="C416" s="445"/>
      <c r="D416" s="445"/>
      <c r="E416" s="457" t="s">
        <v>209</v>
      </c>
      <c r="F416" s="471">
        <f>SUM(F417:F436)</f>
        <v>389360</v>
      </c>
      <c r="G416" s="471">
        <f>SUM(G417:G436)</f>
        <v>389347.13999999996</v>
      </c>
      <c r="H416" s="469">
        <f t="shared" si="6"/>
        <v>99.996697144031216</v>
      </c>
    </row>
    <row r="417" spans="1:8">
      <c r="A417" s="605"/>
      <c r="B417" s="605"/>
      <c r="C417" s="445">
        <v>302</v>
      </c>
      <c r="D417" s="445">
        <v>0</v>
      </c>
      <c r="E417" s="462" t="s">
        <v>404</v>
      </c>
      <c r="F417" s="471">
        <v>600</v>
      </c>
      <c r="G417" s="471">
        <v>600</v>
      </c>
      <c r="H417" s="469">
        <f t="shared" si="6"/>
        <v>100</v>
      </c>
    </row>
    <row r="418" spans="1:8">
      <c r="A418" s="605"/>
      <c r="B418" s="605"/>
      <c r="C418" s="445">
        <v>401</v>
      </c>
      <c r="D418" s="445">
        <v>0</v>
      </c>
      <c r="E418" s="461" t="s">
        <v>405</v>
      </c>
      <c r="F418" s="471">
        <v>145909</v>
      </c>
      <c r="G418" s="471">
        <v>145909</v>
      </c>
      <c r="H418" s="469">
        <f t="shared" si="6"/>
        <v>100</v>
      </c>
    </row>
    <row r="419" spans="1:8">
      <c r="A419" s="605"/>
      <c r="B419" s="605"/>
      <c r="C419" s="445">
        <v>404</v>
      </c>
      <c r="D419" s="445">
        <v>0</v>
      </c>
      <c r="E419" s="461" t="s">
        <v>406</v>
      </c>
      <c r="F419" s="471">
        <v>11828</v>
      </c>
      <c r="G419" s="471">
        <v>11827.12</v>
      </c>
      <c r="H419" s="469">
        <f t="shared" si="6"/>
        <v>99.992560027054452</v>
      </c>
    </row>
    <row r="420" spans="1:8">
      <c r="A420" s="605"/>
      <c r="B420" s="605"/>
      <c r="C420" s="445">
        <v>411</v>
      </c>
      <c r="D420" s="445">
        <v>0</v>
      </c>
      <c r="E420" s="461" t="s">
        <v>407</v>
      </c>
      <c r="F420" s="471">
        <v>25699</v>
      </c>
      <c r="G420" s="471">
        <v>25697.25</v>
      </c>
      <c r="H420" s="469">
        <f t="shared" si="6"/>
        <v>99.993190396513484</v>
      </c>
    </row>
    <row r="421" spans="1:8">
      <c r="A421" s="605"/>
      <c r="B421" s="605"/>
      <c r="C421" s="445">
        <v>412</v>
      </c>
      <c r="D421" s="445">
        <v>0</v>
      </c>
      <c r="E421" s="461" t="s">
        <v>408</v>
      </c>
      <c r="F421" s="471">
        <v>4026</v>
      </c>
      <c r="G421" s="471">
        <v>4025.61</v>
      </c>
      <c r="H421" s="469">
        <f t="shared" si="6"/>
        <v>99.990312965722808</v>
      </c>
    </row>
    <row r="422" spans="1:8">
      <c r="A422" s="605"/>
      <c r="B422" s="605"/>
      <c r="C422" s="445">
        <v>417</v>
      </c>
      <c r="D422" s="445">
        <v>0</v>
      </c>
      <c r="E422" s="451" t="s">
        <v>409</v>
      </c>
      <c r="F422" s="471">
        <v>45624</v>
      </c>
      <c r="G422" s="471">
        <v>45623.14</v>
      </c>
      <c r="H422" s="469">
        <f t="shared" si="6"/>
        <v>99.998115027178684</v>
      </c>
    </row>
    <row r="423" spans="1:8">
      <c r="A423" s="605"/>
      <c r="B423" s="605"/>
      <c r="C423" s="445">
        <v>421</v>
      </c>
      <c r="D423" s="445">
        <v>0</v>
      </c>
      <c r="E423" s="461" t="s">
        <v>401</v>
      </c>
      <c r="F423" s="471">
        <v>97279</v>
      </c>
      <c r="G423" s="471">
        <v>97278.67</v>
      </c>
      <c r="H423" s="469">
        <f t="shared" si="6"/>
        <v>99.999660769539162</v>
      </c>
    </row>
    <row r="424" spans="1:8">
      <c r="A424" s="605"/>
      <c r="B424" s="605"/>
      <c r="C424" s="445">
        <v>422</v>
      </c>
      <c r="D424" s="445">
        <v>0</v>
      </c>
      <c r="E424" s="454" t="s">
        <v>452</v>
      </c>
      <c r="F424" s="471">
        <v>10156</v>
      </c>
      <c r="G424" s="471">
        <v>10156</v>
      </c>
      <c r="H424" s="469">
        <f t="shared" si="6"/>
        <v>100</v>
      </c>
    </row>
    <row r="425" spans="1:8">
      <c r="A425" s="605"/>
      <c r="B425" s="605"/>
      <c r="C425" s="445">
        <v>424</v>
      </c>
      <c r="D425" s="445">
        <v>0</v>
      </c>
      <c r="E425" s="461" t="s">
        <v>431</v>
      </c>
      <c r="F425" s="471">
        <v>2000</v>
      </c>
      <c r="G425" s="471">
        <v>2000</v>
      </c>
      <c r="H425" s="469">
        <f t="shared" si="6"/>
        <v>100</v>
      </c>
    </row>
    <row r="426" spans="1:8">
      <c r="A426" s="605"/>
      <c r="B426" s="605"/>
      <c r="C426" s="445">
        <v>426</v>
      </c>
      <c r="D426" s="445">
        <v>0</v>
      </c>
      <c r="E426" s="461" t="s">
        <v>410</v>
      </c>
      <c r="F426" s="471">
        <v>11124</v>
      </c>
      <c r="G426" s="471">
        <v>11124</v>
      </c>
      <c r="H426" s="469">
        <f t="shared" si="6"/>
        <v>100</v>
      </c>
    </row>
    <row r="427" spans="1:8">
      <c r="A427" s="605"/>
      <c r="B427" s="605"/>
      <c r="C427" s="445">
        <v>427</v>
      </c>
      <c r="D427" s="445">
        <v>0</v>
      </c>
      <c r="E427" s="461" t="s">
        <v>411</v>
      </c>
      <c r="F427" s="471">
        <v>122</v>
      </c>
      <c r="G427" s="471">
        <v>121.77</v>
      </c>
      <c r="H427" s="469">
        <f t="shared" si="6"/>
        <v>99.811475409836063</v>
      </c>
    </row>
    <row r="428" spans="1:8">
      <c r="A428" s="605"/>
      <c r="B428" s="605"/>
      <c r="C428" s="445">
        <v>428</v>
      </c>
      <c r="D428" s="445">
        <v>0</v>
      </c>
      <c r="E428" s="451" t="s">
        <v>412</v>
      </c>
      <c r="F428" s="471">
        <v>15</v>
      </c>
      <c r="G428" s="471">
        <v>15</v>
      </c>
      <c r="H428" s="469">
        <f t="shared" si="6"/>
        <v>100</v>
      </c>
    </row>
    <row r="429" spans="1:8">
      <c r="A429" s="605"/>
      <c r="B429" s="605"/>
      <c r="C429" s="445">
        <v>430</v>
      </c>
      <c r="D429" s="445">
        <v>0</v>
      </c>
      <c r="E429" s="461" t="s">
        <v>398</v>
      </c>
      <c r="F429" s="471">
        <v>21735</v>
      </c>
      <c r="G429" s="471">
        <v>21729.06</v>
      </c>
      <c r="H429" s="469">
        <f t="shared" si="6"/>
        <v>99.972670807453426</v>
      </c>
    </row>
    <row r="430" spans="1:8">
      <c r="A430" s="605"/>
      <c r="B430" s="605"/>
      <c r="C430" s="445">
        <v>435</v>
      </c>
      <c r="D430" s="445">
        <v>0</v>
      </c>
      <c r="E430" s="451" t="s">
        <v>413</v>
      </c>
      <c r="F430" s="471">
        <v>260</v>
      </c>
      <c r="G430" s="471">
        <v>259.05</v>
      </c>
      <c r="H430" s="469">
        <f t="shared" si="6"/>
        <v>99.634615384615387</v>
      </c>
    </row>
    <row r="431" spans="1:8" ht="22.5">
      <c r="A431" s="605"/>
      <c r="B431" s="605"/>
      <c r="C431" s="445">
        <v>436</v>
      </c>
      <c r="D431" s="445">
        <v>0</v>
      </c>
      <c r="E431" s="452" t="s">
        <v>414</v>
      </c>
      <c r="F431" s="471">
        <v>1635</v>
      </c>
      <c r="G431" s="471">
        <v>1634.68</v>
      </c>
      <c r="H431" s="469">
        <f t="shared" si="6"/>
        <v>99.980428134556576</v>
      </c>
    </row>
    <row r="432" spans="1:8" ht="22.5">
      <c r="A432" s="605"/>
      <c r="B432" s="605"/>
      <c r="C432" s="445">
        <v>437</v>
      </c>
      <c r="D432" s="445">
        <v>0</v>
      </c>
      <c r="E432" s="452" t="s">
        <v>415</v>
      </c>
      <c r="F432" s="471">
        <v>647</v>
      </c>
      <c r="G432" s="471">
        <v>646.13</v>
      </c>
      <c r="H432" s="469">
        <f t="shared" si="6"/>
        <v>99.865533230293664</v>
      </c>
    </row>
    <row r="433" spans="1:8">
      <c r="A433" s="605"/>
      <c r="B433" s="605"/>
      <c r="C433" s="445">
        <v>441</v>
      </c>
      <c r="D433" s="445">
        <v>0</v>
      </c>
      <c r="E433" s="461" t="s">
        <v>416</v>
      </c>
      <c r="F433" s="471">
        <v>5977</v>
      </c>
      <c r="G433" s="471">
        <v>5976.66</v>
      </c>
      <c r="H433" s="469">
        <f t="shared" si="6"/>
        <v>99.994311527522157</v>
      </c>
    </row>
    <row r="434" spans="1:8">
      <c r="A434" s="605"/>
      <c r="B434" s="605"/>
      <c r="C434" s="445">
        <v>444</v>
      </c>
      <c r="D434" s="445">
        <v>0</v>
      </c>
      <c r="E434" s="461" t="s">
        <v>417</v>
      </c>
      <c r="F434" s="471">
        <v>4102</v>
      </c>
      <c r="G434" s="471">
        <v>4102</v>
      </c>
      <c r="H434" s="469">
        <f t="shared" si="6"/>
        <v>100</v>
      </c>
    </row>
    <row r="435" spans="1:8">
      <c r="A435" s="605"/>
      <c r="B435" s="605"/>
      <c r="C435" s="445">
        <v>448</v>
      </c>
      <c r="D435" s="445">
        <v>0</v>
      </c>
      <c r="E435" s="461" t="s">
        <v>418</v>
      </c>
      <c r="F435" s="471">
        <v>396</v>
      </c>
      <c r="G435" s="471">
        <v>396</v>
      </c>
      <c r="H435" s="469">
        <f t="shared" si="6"/>
        <v>100</v>
      </c>
    </row>
    <row r="436" spans="1:8" ht="22.5">
      <c r="A436" s="605"/>
      <c r="B436" s="605"/>
      <c r="C436" s="445">
        <v>470</v>
      </c>
      <c r="D436" s="445">
        <v>0</v>
      </c>
      <c r="E436" s="452" t="s">
        <v>422</v>
      </c>
      <c r="F436" s="471">
        <v>226</v>
      </c>
      <c r="G436" s="471">
        <v>226</v>
      </c>
      <c r="H436" s="469">
        <f t="shared" si="6"/>
        <v>100</v>
      </c>
    </row>
    <row r="437" spans="1:8">
      <c r="A437" s="605"/>
      <c r="B437" s="434">
        <v>85218</v>
      </c>
      <c r="C437" s="445"/>
      <c r="D437" s="445"/>
      <c r="E437" s="457" t="s">
        <v>90</v>
      </c>
      <c r="F437" s="471">
        <f>SUM(F438:F457)</f>
        <v>637591</v>
      </c>
      <c r="G437" s="471">
        <f>SUM(G438:G457)</f>
        <v>630729.63</v>
      </c>
      <c r="H437" s="469">
        <f t="shared" si="6"/>
        <v>98.923860280336456</v>
      </c>
    </row>
    <row r="438" spans="1:8">
      <c r="A438" s="605"/>
      <c r="B438" s="605"/>
      <c r="C438" s="445">
        <v>302</v>
      </c>
      <c r="D438" s="445">
        <v>0</v>
      </c>
      <c r="E438" s="462" t="s">
        <v>404</v>
      </c>
      <c r="F438" s="471">
        <v>210</v>
      </c>
      <c r="G438" s="471">
        <v>209.01</v>
      </c>
      <c r="H438" s="469">
        <f t="shared" si="6"/>
        <v>99.528571428571425</v>
      </c>
    </row>
    <row r="439" spans="1:8">
      <c r="A439" s="605"/>
      <c r="B439" s="605"/>
      <c r="C439" s="445">
        <v>401</v>
      </c>
      <c r="D439" s="445">
        <v>0</v>
      </c>
      <c r="E439" s="461" t="s">
        <v>405</v>
      </c>
      <c r="F439" s="471">
        <v>322100</v>
      </c>
      <c r="G439" s="471">
        <v>318639.18</v>
      </c>
      <c r="H439" s="469">
        <f t="shared" si="6"/>
        <v>98.925544861844145</v>
      </c>
    </row>
    <row r="440" spans="1:8">
      <c r="A440" s="605"/>
      <c r="B440" s="605"/>
      <c r="C440" s="445">
        <v>404</v>
      </c>
      <c r="D440" s="445">
        <v>0</v>
      </c>
      <c r="E440" s="461" t="s">
        <v>406</v>
      </c>
      <c r="F440" s="471">
        <v>27190</v>
      </c>
      <c r="G440" s="471">
        <v>27189.35</v>
      </c>
      <c r="H440" s="469">
        <f t="shared" si="6"/>
        <v>99.997609415226179</v>
      </c>
    </row>
    <row r="441" spans="1:8">
      <c r="A441" s="605"/>
      <c r="B441" s="605"/>
      <c r="C441" s="445">
        <v>411</v>
      </c>
      <c r="D441" s="445">
        <v>0</v>
      </c>
      <c r="E441" s="461" t="s">
        <v>407</v>
      </c>
      <c r="F441" s="471">
        <v>48491</v>
      </c>
      <c r="G441" s="471">
        <v>45449.69</v>
      </c>
      <c r="H441" s="469">
        <f t="shared" si="6"/>
        <v>93.728093873089861</v>
      </c>
    </row>
    <row r="442" spans="1:8">
      <c r="A442" s="605"/>
      <c r="B442" s="605"/>
      <c r="C442" s="445">
        <v>412</v>
      </c>
      <c r="D442" s="445">
        <v>0</v>
      </c>
      <c r="E442" s="461" t="s">
        <v>408</v>
      </c>
      <c r="F442" s="471">
        <v>5575</v>
      </c>
      <c r="G442" s="471">
        <v>5226.63</v>
      </c>
      <c r="H442" s="469">
        <f t="shared" si="6"/>
        <v>93.751210762331837</v>
      </c>
    </row>
    <row r="443" spans="1:8">
      <c r="A443" s="605"/>
      <c r="B443" s="605"/>
      <c r="C443" s="445">
        <v>417</v>
      </c>
      <c r="D443" s="445">
        <v>0</v>
      </c>
      <c r="E443" s="451" t="s">
        <v>409</v>
      </c>
      <c r="F443" s="471">
        <v>600</v>
      </c>
      <c r="G443" s="471">
        <v>600</v>
      </c>
      <c r="H443" s="469">
        <f t="shared" si="6"/>
        <v>100</v>
      </c>
    </row>
    <row r="444" spans="1:8">
      <c r="A444" s="605"/>
      <c r="B444" s="605"/>
      <c r="C444" s="445">
        <v>421</v>
      </c>
      <c r="D444" s="445">
        <v>0</v>
      </c>
      <c r="E444" s="461" t="s">
        <v>401</v>
      </c>
      <c r="F444" s="471">
        <v>21139</v>
      </c>
      <c r="G444" s="471">
        <v>21138.34</v>
      </c>
      <c r="H444" s="469">
        <f t="shared" si="6"/>
        <v>99.996877808789435</v>
      </c>
    </row>
    <row r="445" spans="1:8">
      <c r="A445" s="605"/>
      <c r="B445" s="605"/>
      <c r="C445" s="445">
        <v>426</v>
      </c>
      <c r="D445" s="445">
        <v>0</v>
      </c>
      <c r="E445" s="461" t="s">
        <v>410</v>
      </c>
      <c r="F445" s="471">
        <v>74000</v>
      </c>
      <c r="G445" s="471">
        <v>73999.72</v>
      </c>
      <c r="H445" s="469">
        <f t="shared" si="6"/>
        <v>99.999621621621628</v>
      </c>
    </row>
    <row r="446" spans="1:8">
      <c r="A446" s="605"/>
      <c r="B446" s="605"/>
      <c r="C446" s="445">
        <v>427</v>
      </c>
      <c r="D446" s="445">
        <v>0</v>
      </c>
      <c r="E446" s="461" t="s">
        <v>411</v>
      </c>
      <c r="F446" s="471">
        <v>28862</v>
      </c>
      <c r="G446" s="471">
        <v>28861.23</v>
      </c>
      <c r="H446" s="469">
        <f t="shared" si="6"/>
        <v>99.997332132215362</v>
      </c>
    </row>
    <row r="447" spans="1:8">
      <c r="A447" s="605"/>
      <c r="B447" s="605"/>
      <c r="C447" s="445">
        <v>428</v>
      </c>
      <c r="D447" s="445">
        <v>0</v>
      </c>
      <c r="E447" s="451" t="s">
        <v>412</v>
      </c>
      <c r="F447" s="471">
        <v>397</v>
      </c>
      <c r="G447" s="471">
        <v>393</v>
      </c>
      <c r="H447" s="469">
        <f t="shared" si="6"/>
        <v>98.992443324937028</v>
      </c>
    </row>
    <row r="448" spans="1:8">
      <c r="A448" s="605"/>
      <c r="B448" s="605"/>
      <c r="C448" s="445">
        <v>430</v>
      </c>
      <c r="D448" s="445">
        <v>0</v>
      </c>
      <c r="E448" s="461" t="s">
        <v>398</v>
      </c>
      <c r="F448" s="471">
        <v>65675</v>
      </c>
      <c r="G448" s="471">
        <v>65674.460000000006</v>
      </c>
      <c r="H448" s="469">
        <f t="shared" si="6"/>
        <v>99.999177769318621</v>
      </c>
    </row>
    <row r="449" spans="1:8">
      <c r="A449" s="605"/>
      <c r="B449" s="605"/>
      <c r="C449" s="445">
        <v>435</v>
      </c>
      <c r="D449" s="445">
        <v>0</v>
      </c>
      <c r="E449" s="451" t="s">
        <v>413</v>
      </c>
      <c r="F449" s="471">
        <v>820</v>
      </c>
      <c r="G449" s="471">
        <v>819.69</v>
      </c>
      <c r="H449" s="469">
        <f t="shared" si="6"/>
        <v>99.962195121951225</v>
      </c>
    </row>
    <row r="450" spans="1:8" ht="22.5">
      <c r="A450" s="605"/>
      <c r="B450" s="605"/>
      <c r="C450" s="445">
        <v>436</v>
      </c>
      <c r="D450" s="445">
        <v>0</v>
      </c>
      <c r="E450" s="452" t="s">
        <v>414</v>
      </c>
      <c r="F450" s="471">
        <v>2242</v>
      </c>
      <c r="G450" s="471">
        <v>2241.06</v>
      </c>
      <c r="H450" s="469">
        <f t="shared" si="6"/>
        <v>99.958073148974123</v>
      </c>
    </row>
    <row r="451" spans="1:8" ht="22.5">
      <c r="A451" s="605"/>
      <c r="B451" s="605"/>
      <c r="C451" s="445">
        <v>437</v>
      </c>
      <c r="D451" s="445">
        <v>0</v>
      </c>
      <c r="E451" s="452" t="s">
        <v>415</v>
      </c>
      <c r="F451" s="471">
        <v>7378</v>
      </c>
      <c r="G451" s="471">
        <v>7377.13</v>
      </c>
      <c r="H451" s="469">
        <f t="shared" si="6"/>
        <v>99.988208186500401</v>
      </c>
    </row>
    <row r="452" spans="1:8">
      <c r="A452" s="605"/>
      <c r="B452" s="605"/>
      <c r="C452" s="445">
        <v>441</v>
      </c>
      <c r="D452" s="445">
        <v>0</v>
      </c>
      <c r="E452" s="461" t="s">
        <v>416</v>
      </c>
      <c r="F452" s="471">
        <v>5250</v>
      </c>
      <c r="G452" s="471">
        <v>5249.88</v>
      </c>
      <c r="H452" s="469">
        <f t="shared" si="6"/>
        <v>99.997714285714295</v>
      </c>
    </row>
    <row r="453" spans="1:8">
      <c r="A453" s="605"/>
      <c r="B453" s="605"/>
      <c r="C453" s="445">
        <v>444</v>
      </c>
      <c r="D453" s="445">
        <v>0</v>
      </c>
      <c r="E453" s="461" t="s">
        <v>417</v>
      </c>
      <c r="F453" s="471">
        <v>13171</v>
      </c>
      <c r="G453" s="471">
        <v>13170.92</v>
      </c>
      <c r="H453" s="469">
        <f t="shared" si="6"/>
        <v>99.99939260496545</v>
      </c>
    </row>
    <row r="454" spans="1:8">
      <c r="A454" s="605"/>
      <c r="B454" s="605"/>
      <c r="C454" s="445">
        <v>448</v>
      </c>
      <c r="D454" s="445">
        <v>0</v>
      </c>
      <c r="E454" s="461" t="s">
        <v>418</v>
      </c>
      <c r="F454" s="471">
        <v>3925</v>
      </c>
      <c r="G454" s="471">
        <v>3925</v>
      </c>
      <c r="H454" s="469">
        <f t="shared" si="6"/>
        <v>100</v>
      </c>
    </row>
    <row r="455" spans="1:8">
      <c r="A455" s="605"/>
      <c r="B455" s="605"/>
      <c r="C455" s="445">
        <v>452</v>
      </c>
      <c r="D455" s="445">
        <v>0</v>
      </c>
      <c r="E455" s="461" t="s">
        <v>420</v>
      </c>
      <c r="F455" s="471">
        <v>951</v>
      </c>
      <c r="G455" s="471">
        <v>950.34</v>
      </c>
      <c r="H455" s="469">
        <f t="shared" si="6"/>
        <v>99.930599369085186</v>
      </c>
    </row>
    <row r="456" spans="1:8">
      <c r="A456" s="605"/>
      <c r="B456" s="605"/>
      <c r="C456" s="445">
        <v>453</v>
      </c>
      <c r="D456" s="445">
        <v>0</v>
      </c>
      <c r="E456" s="451" t="s">
        <v>402</v>
      </c>
      <c r="F456" s="471">
        <v>8577</v>
      </c>
      <c r="G456" s="471">
        <v>8577</v>
      </c>
      <c r="H456" s="469">
        <f t="shared" si="6"/>
        <v>100</v>
      </c>
    </row>
    <row r="457" spans="1:8" ht="22.5">
      <c r="A457" s="605"/>
      <c r="B457" s="605"/>
      <c r="C457" s="445">
        <v>470</v>
      </c>
      <c r="D457" s="445">
        <v>0</v>
      </c>
      <c r="E457" s="452" t="s">
        <v>422</v>
      </c>
      <c r="F457" s="471">
        <v>1038</v>
      </c>
      <c r="G457" s="471">
        <v>1038</v>
      </c>
      <c r="H457" s="469">
        <f t="shared" si="6"/>
        <v>100</v>
      </c>
    </row>
    <row r="458" spans="1:8">
      <c r="A458" s="605"/>
      <c r="B458" s="434">
        <v>85226</v>
      </c>
      <c r="C458" s="445"/>
      <c r="D458" s="445"/>
      <c r="E458" s="457" t="s">
        <v>193</v>
      </c>
      <c r="F458" s="471">
        <f>SUM(F459:F474)</f>
        <v>162375</v>
      </c>
      <c r="G458" s="471">
        <f>SUM(G459:G474)</f>
        <v>162370.56</v>
      </c>
      <c r="H458" s="469">
        <f t="shared" si="6"/>
        <v>99.997265588914559</v>
      </c>
    </row>
    <row r="459" spans="1:8">
      <c r="A459" s="605"/>
      <c r="B459" s="605"/>
      <c r="C459" s="445">
        <v>401</v>
      </c>
      <c r="D459" s="445">
        <v>0</v>
      </c>
      <c r="E459" s="461" t="s">
        <v>405</v>
      </c>
      <c r="F459" s="471">
        <v>106022</v>
      </c>
      <c r="G459" s="471">
        <v>106021.71</v>
      </c>
      <c r="H459" s="469">
        <f t="shared" si="6"/>
        <v>99.999726471864335</v>
      </c>
    </row>
    <row r="460" spans="1:8">
      <c r="A460" s="605"/>
      <c r="B460" s="605"/>
      <c r="C460" s="445">
        <v>404</v>
      </c>
      <c r="D460" s="445">
        <v>0</v>
      </c>
      <c r="E460" s="461" t="s">
        <v>406</v>
      </c>
      <c r="F460" s="471">
        <v>7228</v>
      </c>
      <c r="G460" s="471">
        <v>7227.17</v>
      </c>
      <c r="H460" s="469">
        <f t="shared" si="6"/>
        <v>99.988516878804646</v>
      </c>
    </row>
    <row r="461" spans="1:8">
      <c r="A461" s="605"/>
      <c r="B461" s="605"/>
      <c r="C461" s="445">
        <v>411</v>
      </c>
      <c r="D461" s="445">
        <v>0</v>
      </c>
      <c r="E461" s="461" t="s">
        <v>407</v>
      </c>
      <c r="F461" s="471">
        <v>18852</v>
      </c>
      <c r="G461" s="471">
        <v>18851.669999999998</v>
      </c>
      <c r="H461" s="469">
        <f t="shared" si="6"/>
        <v>99.998249522597064</v>
      </c>
    </row>
    <row r="462" spans="1:8">
      <c r="A462" s="605"/>
      <c r="B462" s="605"/>
      <c r="C462" s="445">
        <v>412</v>
      </c>
      <c r="D462" s="445">
        <v>0</v>
      </c>
      <c r="E462" s="461" t="s">
        <v>408</v>
      </c>
      <c r="F462" s="471">
        <v>3021</v>
      </c>
      <c r="G462" s="471">
        <v>3020.73</v>
      </c>
      <c r="H462" s="469">
        <f t="shared" si="6"/>
        <v>99.991062562065551</v>
      </c>
    </row>
    <row r="463" spans="1:8">
      <c r="A463" s="605"/>
      <c r="B463" s="605"/>
      <c r="C463" s="445">
        <v>417</v>
      </c>
      <c r="D463" s="445">
        <v>0</v>
      </c>
      <c r="E463" s="451" t="s">
        <v>409</v>
      </c>
      <c r="F463" s="471">
        <v>6600</v>
      </c>
      <c r="G463" s="471">
        <v>6600</v>
      </c>
      <c r="H463" s="469">
        <f t="shared" si="6"/>
        <v>100</v>
      </c>
    </row>
    <row r="464" spans="1:8">
      <c r="A464" s="605"/>
      <c r="B464" s="605"/>
      <c r="C464" s="445">
        <v>421</v>
      </c>
      <c r="D464" s="445">
        <v>0</v>
      </c>
      <c r="E464" s="461" t="s">
        <v>401</v>
      </c>
      <c r="F464" s="471">
        <v>1730</v>
      </c>
      <c r="G464" s="471">
        <v>1729.38</v>
      </c>
      <c r="H464" s="469">
        <f t="shared" si="6"/>
        <v>99.96416184971099</v>
      </c>
    </row>
    <row r="465" spans="1:8">
      <c r="A465" s="605"/>
      <c r="B465" s="605"/>
      <c r="C465" s="445">
        <v>426</v>
      </c>
      <c r="D465" s="445">
        <v>0</v>
      </c>
      <c r="E465" s="461" t="s">
        <v>410</v>
      </c>
      <c r="F465" s="471">
        <v>5649</v>
      </c>
      <c r="G465" s="471">
        <v>5649</v>
      </c>
      <c r="H465" s="469">
        <f t="shared" si="6"/>
        <v>100</v>
      </c>
    </row>
    <row r="466" spans="1:8">
      <c r="A466" s="605"/>
      <c r="B466" s="605"/>
      <c r="C466" s="445">
        <v>428</v>
      </c>
      <c r="D466" s="445">
        <v>0</v>
      </c>
      <c r="E466" s="451" t="s">
        <v>412</v>
      </c>
      <c r="F466" s="471">
        <v>75</v>
      </c>
      <c r="G466" s="471">
        <v>75</v>
      </c>
      <c r="H466" s="469">
        <f t="shared" si="6"/>
        <v>100</v>
      </c>
    </row>
    <row r="467" spans="1:8">
      <c r="A467" s="605"/>
      <c r="B467" s="605"/>
      <c r="C467" s="445">
        <v>430</v>
      </c>
      <c r="D467" s="445">
        <v>0</v>
      </c>
      <c r="E467" s="461" t="s">
        <v>398</v>
      </c>
      <c r="F467" s="471">
        <v>3192</v>
      </c>
      <c r="G467" s="471">
        <v>3192</v>
      </c>
      <c r="H467" s="469">
        <f t="shared" si="6"/>
        <v>100</v>
      </c>
    </row>
    <row r="468" spans="1:8">
      <c r="A468" s="605"/>
      <c r="B468" s="605"/>
      <c r="C468" s="445">
        <v>435</v>
      </c>
      <c r="D468" s="445">
        <v>0</v>
      </c>
      <c r="E468" s="451" t="s">
        <v>413</v>
      </c>
      <c r="F468" s="471">
        <v>260</v>
      </c>
      <c r="G468" s="471">
        <v>259.04000000000002</v>
      </c>
      <c r="H468" s="469">
        <f t="shared" si="6"/>
        <v>99.630769230769232</v>
      </c>
    </row>
    <row r="469" spans="1:8" ht="22.5">
      <c r="A469" s="605"/>
      <c r="B469" s="605"/>
      <c r="C469" s="445">
        <v>436</v>
      </c>
      <c r="D469" s="445">
        <v>0</v>
      </c>
      <c r="E469" s="452" t="s">
        <v>414</v>
      </c>
      <c r="F469" s="471">
        <v>1394</v>
      </c>
      <c r="G469" s="471">
        <v>1393.78</v>
      </c>
      <c r="H469" s="469">
        <f t="shared" si="6"/>
        <v>99.984218077474893</v>
      </c>
    </row>
    <row r="470" spans="1:8" ht="22.5">
      <c r="A470" s="605"/>
      <c r="B470" s="605"/>
      <c r="C470" s="445">
        <v>437</v>
      </c>
      <c r="D470" s="445">
        <v>0</v>
      </c>
      <c r="E470" s="452" t="s">
        <v>415</v>
      </c>
      <c r="F470" s="471">
        <v>221</v>
      </c>
      <c r="G470" s="471">
        <v>220.77</v>
      </c>
      <c r="H470" s="469">
        <f t="shared" si="6"/>
        <v>99.895927601809959</v>
      </c>
    </row>
    <row r="471" spans="1:8">
      <c r="A471" s="605"/>
      <c r="B471" s="605"/>
      <c r="C471" s="445">
        <v>441</v>
      </c>
      <c r="D471" s="445">
        <v>0</v>
      </c>
      <c r="E471" s="461" t="s">
        <v>416</v>
      </c>
      <c r="F471" s="471">
        <v>1690</v>
      </c>
      <c r="G471" s="471">
        <v>1689.31</v>
      </c>
      <c r="H471" s="469">
        <f t="shared" ref="H471:H534" si="7">G471/F471*100</f>
        <v>99.95917159763313</v>
      </c>
    </row>
    <row r="472" spans="1:8">
      <c r="A472" s="605"/>
      <c r="B472" s="605"/>
      <c r="C472" s="445">
        <v>444</v>
      </c>
      <c r="D472" s="445">
        <v>0</v>
      </c>
      <c r="E472" s="461" t="s">
        <v>417</v>
      </c>
      <c r="F472" s="471">
        <v>5264</v>
      </c>
      <c r="G472" s="471">
        <v>5264</v>
      </c>
      <c r="H472" s="469">
        <f t="shared" si="7"/>
        <v>100</v>
      </c>
    </row>
    <row r="473" spans="1:8">
      <c r="A473" s="605"/>
      <c r="B473" s="605"/>
      <c r="C473" s="445">
        <v>448</v>
      </c>
      <c r="D473" s="445">
        <v>0</v>
      </c>
      <c r="E473" s="461" t="s">
        <v>418</v>
      </c>
      <c r="F473" s="471">
        <v>816</v>
      </c>
      <c r="G473" s="471">
        <v>816</v>
      </c>
      <c r="H473" s="469">
        <f t="shared" si="7"/>
        <v>100</v>
      </c>
    </row>
    <row r="474" spans="1:8" ht="22.5">
      <c r="A474" s="605"/>
      <c r="B474" s="605"/>
      <c r="C474" s="445">
        <v>470</v>
      </c>
      <c r="D474" s="445">
        <v>0</v>
      </c>
      <c r="E474" s="452" t="s">
        <v>422</v>
      </c>
      <c r="F474" s="471">
        <v>361</v>
      </c>
      <c r="G474" s="471">
        <v>361</v>
      </c>
      <c r="H474" s="469">
        <f t="shared" si="7"/>
        <v>100</v>
      </c>
    </row>
    <row r="475" spans="1:8">
      <c r="A475" s="605"/>
      <c r="B475" s="434">
        <v>85233</v>
      </c>
      <c r="C475" s="445"/>
      <c r="D475" s="445"/>
      <c r="E475" s="457" t="s">
        <v>82</v>
      </c>
      <c r="F475" s="471">
        <f>F476+F477+F478</f>
        <v>3464.07</v>
      </c>
      <c r="G475" s="471">
        <f>G476+G477+G478</f>
        <v>2370.2799999999997</v>
      </c>
      <c r="H475" s="469">
        <f t="shared" si="7"/>
        <v>68.424714281177913</v>
      </c>
    </row>
    <row r="476" spans="1:8">
      <c r="A476" s="605"/>
      <c r="B476" s="612"/>
      <c r="C476" s="445">
        <v>421</v>
      </c>
      <c r="D476" s="445">
        <v>0</v>
      </c>
      <c r="E476" s="461" t="s">
        <v>401</v>
      </c>
      <c r="F476" s="471">
        <v>665</v>
      </c>
      <c r="G476" s="471">
        <v>484.2</v>
      </c>
      <c r="H476" s="469">
        <f t="shared" si="7"/>
        <v>72.812030075187977</v>
      </c>
    </row>
    <row r="477" spans="1:8">
      <c r="A477" s="605"/>
      <c r="B477" s="613"/>
      <c r="C477" s="445">
        <v>430</v>
      </c>
      <c r="D477" s="445">
        <v>0</v>
      </c>
      <c r="E477" s="461" t="s">
        <v>398</v>
      </c>
      <c r="F477" s="471">
        <v>2599.0700000000002</v>
      </c>
      <c r="G477" s="471">
        <v>1823</v>
      </c>
      <c r="H477" s="469">
        <f t="shared" si="7"/>
        <v>70.140473323150204</v>
      </c>
    </row>
    <row r="478" spans="1:8">
      <c r="A478" s="605"/>
      <c r="B478" s="614"/>
      <c r="C478" s="445">
        <v>441</v>
      </c>
      <c r="D478" s="445">
        <v>0</v>
      </c>
      <c r="E478" s="461" t="s">
        <v>416</v>
      </c>
      <c r="F478" s="471">
        <v>200</v>
      </c>
      <c r="G478" s="471">
        <v>63.08</v>
      </c>
      <c r="H478" s="469">
        <f t="shared" si="7"/>
        <v>31.540000000000003</v>
      </c>
    </row>
    <row r="479" spans="1:8">
      <c r="A479" s="605"/>
      <c r="B479" s="434">
        <v>85295</v>
      </c>
      <c r="C479" s="445"/>
      <c r="D479" s="445"/>
      <c r="E479" s="464" t="s">
        <v>72</v>
      </c>
      <c r="F479" s="471">
        <f>F482+F480+F481</f>
        <v>30000</v>
      </c>
      <c r="G479" s="471">
        <f>G482+G480+G481</f>
        <v>30000</v>
      </c>
      <c r="H479" s="469">
        <f t="shared" si="7"/>
        <v>100</v>
      </c>
    </row>
    <row r="480" spans="1:8">
      <c r="A480" s="605"/>
      <c r="B480" s="612"/>
      <c r="C480" s="445">
        <v>417</v>
      </c>
      <c r="D480" s="445">
        <v>0</v>
      </c>
      <c r="E480" s="451" t="s">
        <v>409</v>
      </c>
      <c r="F480" s="471">
        <v>16500</v>
      </c>
      <c r="G480" s="471">
        <v>16500</v>
      </c>
      <c r="H480" s="469">
        <f t="shared" si="7"/>
        <v>100</v>
      </c>
    </row>
    <row r="481" spans="1:8">
      <c r="A481" s="605"/>
      <c r="B481" s="613"/>
      <c r="C481" s="445">
        <v>421</v>
      </c>
      <c r="D481" s="445">
        <v>0</v>
      </c>
      <c r="E481" s="461" t="s">
        <v>401</v>
      </c>
      <c r="F481" s="471">
        <v>7500</v>
      </c>
      <c r="G481" s="471">
        <v>7500</v>
      </c>
      <c r="H481" s="469">
        <f t="shared" si="7"/>
        <v>100</v>
      </c>
    </row>
    <row r="482" spans="1:8">
      <c r="A482" s="605"/>
      <c r="B482" s="614"/>
      <c r="C482" s="445">
        <v>430</v>
      </c>
      <c r="D482" s="445">
        <v>0</v>
      </c>
      <c r="E482" s="461" t="s">
        <v>398</v>
      </c>
      <c r="F482" s="471">
        <v>6000</v>
      </c>
      <c r="G482" s="471">
        <v>6000</v>
      </c>
      <c r="H482" s="469">
        <f t="shared" si="7"/>
        <v>100</v>
      </c>
    </row>
    <row r="483" spans="1:8">
      <c r="A483" s="441">
        <v>853</v>
      </c>
      <c r="B483" s="441"/>
      <c r="C483" s="442"/>
      <c r="D483" s="442"/>
      <c r="E483" s="458" t="s">
        <v>34</v>
      </c>
      <c r="F483" s="470">
        <f>F484+F486+F495+F512</f>
        <v>3860441.03</v>
      </c>
      <c r="G483" s="470">
        <f>G484+G486+G495+G512</f>
        <v>3839703.9899999998</v>
      </c>
      <c r="H483" s="468">
        <f t="shared" si="7"/>
        <v>99.462832359337966</v>
      </c>
    </row>
    <row r="484" spans="1:8">
      <c r="A484" s="605"/>
      <c r="B484" s="434">
        <v>85311</v>
      </c>
      <c r="C484" s="445"/>
      <c r="D484" s="445"/>
      <c r="E484" s="457" t="s">
        <v>150</v>
      </c>
      <c r="F484" s="471">
        <f>F485</f>
        <v>89040</v>
      </c>
      <c r="G484" s="471">
        <f>G485</f>
        <v>89040</v>
      </c>
      <c r="H484" s="469">
        <f t="shared" si="7"/>
        <v>100</v>
      </c>
    </row>
    <row r="485" spans="1:8" ht="36" customHeight="1">
      <c r="A485" s="605"/>
      <c r="B485" s="434"/>
      <c r="C485" s="445">
        <v>231</v>
      </c>
      <c r="D485" s="445">
        <v>0</v>
      </c>
      <c r="E485" s="467" t="s">
        <v>464</v>
      </c>
      <c r="F485" s="471">
        <v>89040</v>
      </c>
      <c r="G485" s="471">
        <v>89040</v>
      </c>
      <c r="H485" s="469">
        <f t="shared" si="7"/>
        <v>100</v>
      </c>
    </row>
    <row r="486" spans="1:8">
      <c r="A486" s="605"/>
      <c r="B486" s="434">
        <v>85321</v>
      </c>
      <c r="C486" s="445"/>
      <c r="D486" s="445"/>
      <c r="E486" s="457" t="s">
        <v>114</v>
      </c>
      <c r="F486" s="471">
        <f>SUM(F487:F494)</f>
        <v>125760</v>
      </c>
      <c r="G486" s="471">
        <f>SUM(G487:G494)</f>
        <v>125758.74</v>
      </c>
      <c r="H486" s="469">
        <f t="shared" si="7"/>
        <v>99.998998091603056</v>
      </c>
    </row>
    <row r="487" spans="1:8">
      <c r="A487" s="605"/>
      <c r="B487" s="605"/>
      <c r="C487" s="445">
        <v>401</v>
      </c>
      <c r="D487" s="445">
        <v>0</v>
      </c>
      <c r="E487" s="461" t="s">
        <v>405</v>
      </c>
      <c r="F487" s="471">
        <v>40480</v>
      </c>
      <c r="G487" s="471">
        <v>40480</v>
      </c>
      <c r="H487" s="469">
        <f t="shared" si="7"/>
        <v>100</v>
      </c>
    </row>
    <row r="488" spans="1:8">
      <c r="A488" s="605"/>
      <c r="B488" s="605"/>
      <c r="C488" s="445">
        <v>404</v>
      </c>
      <c r="D488" s="445">
        <v>0</v>
      </c>
      <c r="E488" s="461" t="s">
        <v>406</v>
      </c>
      <c r="F488" s="471">
        <v>2958</v>
      </c>
      <c r="G488" s="471">
        <v>2957.66</v>
      </c>
      <c r="H488" s="469">
        <f t="shared" si="7"/>
        <v>99.988505747126439</v>
      </c>
    </row>
    <row r="489" spans="1:8">
      <c r="A489" s="605"/>
      <c r="B489" s="605"/>
      <c r="C489" s="445">
        <v>411</v>
      </c>
      <c r="D489" s="445">
        <v>0</v>
      </c>
      <c r="E489" s="461" t="s">
        <v>407</v>
      </c>
      <c r="F489" s="471">
        <v>7252</v>
      </c>
      <c r="G489" s="471">
        <v>7251.76</v>
      </c>
      <c r="H489" s="469">
        <f t="shared" si="7"/>
        <v>99.996690568119135</v>
      </c>
    </row>
    <row r="490" spans="1:8">
      <c r="A490" s="605"/>
      <c r="B490" s="605"/>
      <c r="C490" s="445">
        <v>412</v>
      </c>
      <c r="D490" s="445">
        <v>0</v>
      </c>
      <c r="E490" s="461" t="s">
        <v>408</v>
      </c>
      <c r="F490" s="471">
        <v>1146</v>
      </c>
      <c r="G490" s="471">
        <v>1145.48</v>
      </c>
      <c r="H490" s="469">
        <f t="shared" si="7"/>
        <v>99.954624781849915</v>
      </c>
    </row>
    <row r="491" spans="1:8">
      <c r="A491" s="605"/>
      <c r="B491" s="605"/>
      <c r="C491" s="445">
        <v>417</v>
      </c>
      <c r="D491" s="445">
        <v>0</v>
      </c>
      <c r="E491" s="451" t="s">
        <v>409</v>
      </c>
      <c r="F491" s="471">
        <v>21491</v>
      </c>
      <c r="G491" s="471">
        <v>21491</v>
      </c>
      <c r="H491" s="469">
        <f t="shared" si="7"/>
        <v>100</v>
      </c>
    </row>
    <row r="492" spans="1:8">
      <c r="A492" s="605"/>
      <c r="B492" s="605"/>
      <c r="C492" s="445">
        <v>421</v>
      </c>
      <c r="D492" s="445">
        <v>0</v>
      </c>
      <c r="E492" s="461" t="s">
        <v>401</v>
      </c>
      <c r="F492" s="471">
        <v>12920</v>
      </c>
      <c r="G492" s="471">
        <v>12920</v>
      </c>
      <c r="H492" s="469">
        <f t="shared" si="7"/>
        <v>100</v>
      </c>
    </row>
    <row r="493" spans="1:8">
      <c r="A493" s="605"/>
      <c r="B493" s="605"/>
      <c r="C493" s="445">
        <v>430</v>
      </c>
      <c r="D493" s="445">
        <v>0</v>
      </c>
      <c r="E493" s="461" t="s">
        <v>398</v>
      </c>
      <c r="F493" s="471">
        <v>38419</v>
      </c>
      <c r="G493" s="471">
        <v>38418.910000000003</v>
      </c>
      <c r="H493" s="469">
        <f t="shared" si="7"/>
        <v>99.999765740909453</v>
      </c>
    </row>
    <row r="494" spans="1:8">
      <c r="A494" s="605"/>
      <c r="B494" s="605"/>
      <c r="C494" s="445">
        <v>444</v>
      </c>
      <c r="D494" s="445">
        <v>0</v>
      </c>
      <c r="E494" s="461" t="s">
        <v>417</v>
      </c>
      <c r="F494" s="471">
        <v>1094</v>
      </c>
      <c r="G494" s="471">
        <v>1093.93</v>
      </c>
      <c r="H494" s="469">
        <f t="shared" si="7"/>
        <v>99.993601462522861</v>
      </c>
    </row>
    <row r="495" spans="1:8">
      <c r="A495" s="605"/>
      <c r="B495" s="434">
        <v>85333</v>
      </c>
      <c r="C495" s="445"/>
      <c r="D495" s="445"/>
      <c r="E495" s="457" t="s">
        <v>92</v>
      </c>
      <c r="F495" s="471">
        <f>SUM(F496:F511)</f>
        <v>2204368</v>
      </c>
      <c r="G495" s="471">
        <f>SUM(G496:G511)</f>
        <v>2201856.8899999997</v>
      </c>
      <c r="H495" s="469">
        <f t="shared" si="7"/>
        <v>99.886084809795804</v>
      </c>
    </row>
    <row r="496" spans="1:8">
      <c r="A496" s="605"/>
      <c r="B496" s="605"/>
      <c r="C496" s="445">
        <v>401</v>
      </c>
      <c r="D496" s="445">
        <v>0</v>
      </c>
      <c r="E496" s="461" t="s">
        <v>405</v>
      </c>
      <c r="F496" s="471">
        <v>1572675</v>
      </c>
      <c r="G496" s="471">
        <v>1572674.21</v>
      </c>
      <c r="H496" s="469">
        <f t="shared" si="7"/>
        <v>99.999949767116533</v>
      </c>
    </row>
    <row r="497" spans="1:8">
      <c r="A497" s="605"/>
      <c r="B497" s="605"/>
      <c r="C497" s="445">
        <v>404</v>
      </c>
      <c r="D497" s="445">
        <v>0</v>
      </c>
      <c r="E497" s="461" t="s">
        <v>406</v>
      </c>
      <c r="F497" s="471">
        <v>118381</v>
      </c>
      <c r="G497" s="471">
        <v>118380.62</v>
      </c>
      <c r="H497" s="469">
        <f t="shared" si="7"/>
        <v>99.999679002542635</v>
      </c>
    </row>
    <row r="498" spans="1:8">
      <c r="A498" s="605"/>
      <c r="B498" s="605"/>
      <c r="C498" s="445">
        <v>411</v>
      </c>
      <c r="D498" s="445">
        <v>0</v>
      </c>
      <c r="E498" s="461" t="s">
        <v>407</v>
      </c>
      <c r="F498" s="471">
        <v>258760</v>
      </c>
      <c r="G498" s="471">
        <v>258759.91</v>
      </c>
      <c r="H498" s="469">
        <f t="shared" si="7"/>
        <v>99.999965218735511</v>
      </c>
    </row>
    <row r="499" spans="1:8">
      <c r="A499" s="605"/>
      <c r="B499" s="605"/>
      <c r="C499" s="445">
        <v>412</v>
      </c>
      <c r="D499" s="445">
        <v>0</v>
      </c>
      <c r="E499" s="461" t="s">
        <v>408</v>
      </c>
      <c r="F499" s="471">
        <v>36319</v>
      </c>
      <c r="G499" s="471">
        <v>36318.89</v>
      </c>
      <c r="H499" s="469">
        <f t="shared" si="7"/>
        <v>99.999697128224895</v>
      </c>
    </row>
    <row r="500" spans="1:8">
      <c r="A500" s="605"/>
      <c r="B500" s="605"/>
      <c r="C500" s="445">
        <v>417</v>
      </c>
      <c r="D500" s="445">
        <v>0</v>
      </c>
      <c r="E500" s="451" t="s">
        <v>409</v>
      </c>
      <c r="F500" s="471">
        <v>2480</v>
      </c>
      <c r="G500" s="471">
        <v>2480</v>
      </c>
      <c r="H500" s="469">
        <f t="shared" si="7"/>
        <v>100</v>
      </c>
    </row>
    <row r="501" spans="1:8">
      <c r="A501" s="605"/>
      <c r="B501" s="605"/>
      <c r="C501" s="445">
        <v>421</v>
      </c>
      <c r="D501" s="445">
        <v>0</v>
      </c>
      <c r="E501" s="461" t="s">
        <v>401</v>
      </c>
      <c r="F501" s="471">
        <v>31244</v>
      </c>
      <c r="G501" s="471">
        <v>31243.47</v>
      </c>
      <c r="H501" s="469">
        <f t="shared" si="7"/>
        <v>99.998303674305461</v>
      </c>
    </row>
    <row r="502" spans="1:8">
      <c r="A502" s="605"/>
      <c r="B502" s="605"/>
      <c r="C502" s="445">
        <v>426</v>
      </c>
      <c r="D502" s="445">
        <v>0</v>
      </c>
      <c r="E502" s="461" t="s">
        <v>410</v>
      </c>
      <c r="F502" s="471">
        <v>36387</v>
      </c>
      <c r="G502" s="471">
        <v>36386.239999999998</v>
      </c>
      <c r="H502" s="469">
        <f t="shared" si="7"/>
        <v>99.997911341962791</v>
      </c>
    </row>
    <row r="503" spans="1:8">
      <c r="A503" s="605"/>
      <c r="B503" s="605"/>
      <c r="C503" s="445">
        <v>427</v>
      </c>
      <c r="D503" s="445">
        <v>0</v>
      </c>
      <c r="E503" s="461" t="s">
        <v>411</v>
      </c>
      <c r="F503" s="471">
        <v>5777</v>
      </c>
      <c r="G503" s="471">
        <v>5776.93</v>
      </c>
      <c r="H503" s="469">
        <f t="shared" si="7"/>
        <v>99.998788298424785</v>
      </c>
    </row>
    <row r="504" spans="1:8">
      <c r="A504" s="605"/>
      <c r="B504" s="605"/>
      <c r="C504" s="445">
        <v>428</v>
      </c>
      <c r="D504" s="445">
        <v>0</v>
      </c>
      <c r="E504" s="461" t="s">
        <v>412</v>
      </c>
      <c r="F504" s="471">
        <v>753</v>
      </c>
      <c r="G504" s="471">
        <v>752.5</v>
      </c>
      <c r="H504" s="469">
        <f t="shared" si="7"/>
        <v>99.933598937583</v>
      </c>
    </row>
    <row r="505" spans="1:8">
      <c r="A505" s="605"/>
      <c r="B505" s="605"/>
      <c r="C505" s="445">
        <v>430</v>
      </c>
      <c r="D505" s="445">
        <v>0</v>
      </c>
      <c r="E505" s="461" t="s">
        <v>398</v>
      </c>
      <c r="F505" s="471">
        <v>23201</v>
      </c>
      <c r="G505" s="471">
        <v>20694.16</v>
      </c>
      <c r="H505" s="469">
        <f t="shared" si="7"/>
        <v>89.195120899961211</v>
      </c>
    </row>
    <row r="506" spans="1:8" ht="22.5">
      <c r="A506" s="605"/>
      <c r="B506" s="605"/>
      <c r="C506" s="445">
        <v>437</v>
      </c>
      <c r="D506" s="445">
        <v>0</v>
      </c>
      <c r="E506" s="452" t="s">
        <v>415</v>
      </c>
      <c r="F506" s="471">
        <v>89</v>
      </c>
      <c r="G506" s="471">
        <v>88.97</v>
      </c>
      <c r="H506" s="469">
        <f t="shared" si="7"/>
        <v>99.966292134831463</v>
      </c>
    </row>
    <row r="507" spans="1:8">
      <c r="A507" s="605"/>
      <c r="B507" s="605"/>
      <c r="C507" s="445">
        <v>441</v>
      </c>
      <c r="D507" s="445">
        <v>0</v>
      </c>
      <c r="E507" s="461" t="s">
        <v>416</v>
      </c>
      <c r="F507" s="471">
        <v>16904</v>
      </c>
      <c r="G507" s="471">
        <v>16903.509999999998</v>
      </c>
      <c r="H507" s="469">
        <f t="shared" si="7"/>
        <v>99.997101277804063</v>
      </c>
    </row>
    <row r="508" spans="1:8">
      <c r="A508" s="605"/>
      <c r="B508" s="605"/>
      <c r="C508" s="445">
        <v>444</v>
      </c>
      <c r="D508" s="445">
        <v>0</v>
      </c>
      <c r="E508" s="461" t="s">
        <v>417</v>
      </c>
      <c r="F508" s="471">
        <v>60586</v>
      </c>
      <c r="G508" s="471">
        <v>60585.48</v>
      </c>
      <c r="H508" s="469">
        <f t="shared" si="7"/>
        <v>99.999141715907967</v>
      </c>
    </row>
    <row r="509" spans="1:8">
      <c r="A509" s="605"/>
      <c r="B509" s="605"/>
      <c r="C509" s="445">
        <v>448</v>
      </c>
      <c r="D509" s="445">
        <v>0</v>
      </c>
      <c r="E509" s="461" t="s">
        <v>418</v>
      </c>
      <c r="F509" s="471">
        <v>8132</v>
      </c>
      <c r="G509" s="471">
        <v>8132</v>
      </c>
      <c r="H509" s="469">
        <f t="shared" si="7"/>
        <v>100</v>
      </c>
    </row>
    <row r="510" spans="1:8" ht="22.5">
      <c r="A510" s="605"/>
      <c r="B510" s="605"/>
      <c r="C510" s="445">
        <v>470</v>
      </c>
      <c r="D510" s="445">
        <v>0</v>
      </c>
      <c r="E510" s="452" t="s">
        <v>422</v>
      </c>
      <c r="F510" s="471">
        <v>680</v>
      </c>
      <c r="G510" s="471">
        <v>680</v>
      </c>
      <c r="H510" s="469">
        <f t="shared" si="7"/>
        <v>100</v>
      </c>
    </row>
    <row r="511" spans="1:8">
      <c r="A511" s="605"/>
      <c r="B511" s="605"/>
      <c r="C511" s="445">
        <v>605</v>
      </c>
      <c r="D511" s="445">
        <v>0</v>
      </c>
      <c r="E511" s="452" t="s">
        <v>423</v>
      </c>
      <c r="F511" s="471">
        <v>32000</v>
      </c>
      <c r="G511" s="471">
        <v>32000</v>
      </c>
      <c r="H511" s="469">
        <f t="shared" si="7"/>
        <v>100</v>
      </c>
    </row>
    <row r="512" spans="1:8">
      <c r="A512" s="605"/>
      <c r="B512" s="434">
        <v>85395</v>
      </c>
      <c r="C512" s="445"/>
      <c r="D512" s="445"/>
      <c r="E512" s="464" t="s">
        <v>72</v>
      </c>
      <c r="F512" s="471">
        <f>SUM(F513:F541)</f>
        <v>1441273.0299999998</v>
      </c>
      <c r="G512" s="471">
        <f>SUM(G513:G541)</f>
        <v>1423048.3599999999</v>
      </c>
      <c r="H512" s="469">
        <f t="shared" si="7"/>
        <v>98.735515782183199</v>
      </c>
    </row>
    <row r="513" spans="1:8" ht="33" customHeight="1">
      <c r="A513" s="605"/>
      <c r="B513" s="605"/>
      <c r="C513" s="445">
        <v>231</v>
      </c>
      <c r="D513" s="445">
        <v>7</v>
      </c>
      <c r="E513" s="467" t="s">
        <v>464</v>
      </c>
      <c r="F513" s="471">
        <v>786830.08</v>
      </c>
      <c r="G513" s="471">
        <v>781492.58</v>
      </c>
      <c r="H513" s="469">
        <f t="shared" si="7"/>
        <v>99.321645151136067</v>
      </c>
    </row>
    <row r="514" spans="1:8" ht="35.25" customHeight="1">
      <c r="A514" s="605"/>
      <c r="B514" s="605"/>
      <c r="C514" s="445">
        <v>231</v>
      </c>
      <c r="D514" s="445">
        <v>9</v>
      </c>
      <c r="E514" s="467" t="s">
        <v>464</v>
      </c>
      <c r="F514" s="471">
        <v>46323.32</v>
      </c>
      <c r="G514" s="471">
        <v>46009.04</v>
      </c>
      <c r="H514" s="469">
        <f t="shared" si="7"/>
        <v>99.321551218695035</v>
      </c>
    </row>
    <row r="515" spans="1:8">
      <c r="A515" s="605"/>
      <c r="B515" s="605"/>
      <c r="C515" s="445">
        <v>311</v>
      </c>
      <c r="D515" s="445">
        <v>7</v>
      </c>
      <c r="E515" s="462" t="s">
        <v>465</v>
      </c>
      <c r="F515" s="471">
        <v>47597.760000000002</v>
      </c>
      <c r="G515" s="471">
        <v>47597.760000000002</v>
      </c>
      <c r="H515" s="469">
        <f t="shared" si="7"/>
        <v>100</v>
      </c>
    </row>
    <row r="516" spans="1:8">
      <c r="A516" s="605"/>
      <c r="B516" s="605"/>
      <c r="C516" s="445">
        <v>311</v>
      </c>
      <c r="D516" s="445">
        <v>9</v>
      </c>
      <c r="E516" s="462" t="s">
        <v>465</v>
      </c>
      <c r="F516" s="471">
        <v>49871.839999999997</v>
      </c>
      <c r="G516" s="471">
        <v>49869.14</v>
      </c>
      <c r="H516" s="469">
        <f t="shared" si="7"/>
        <v>99.994586123150867</v>
      </c>
    </row>
    <row r="517" spans="1:8">
      <c r="A517" s="605"/>
      <c r="B517" s="605"/>
      <c r="C517" s="445">
        <v>401</v>
      </c>
      <c r="D517" s="445">
        <v>0</v>
      </c>
      <c r="E517" s="461" t="s">
        <v>405</v>
      </c>
      <c r="F517" s="471">
        <v>26000</v>
      </c>
      <c r="G517" s="471">
        <v>25432.71</v>
      </c>
      <c r="H517" s="469">
        <f t="shared" si="7"/>
        <v>97.818115384615382</v>
      </c>
    </row>
    <row r="518" spans="1:8">
      <c r="A518" s="605"/>
      <c r="B518" s="605"/>
      <c r="C518" s="445">
        <v>401</v>
      </c>
      <c r="D518" s="445">
        <v>7</v>
      </c>
      <c r="E518" s="461" t="s">
        <v>405</v>
      </c>
      <c r="F518" s="471">
        <v>152560.85</v>
      </c>
      <c r="G518" s="471">
        <v>152108.32</v>
      </c>
      <c r="H518" s="469">
        <f t="shared" si="7"/>
        <v>99.703377373684006</v>
      </c>
    </row>
    <row r="519" spans="1:8">
      <c r="A519" s="605"/>
      <c r="B519" s="605"/>
      <c r="C519" s="445">
        <v>401</v>
      </c>
      <c r="D519" s="445">
        <v>9</v>
      </c>
      <c r="E519" s="461" t="s">
        <v>405</v>
      </c>
      <c r="F519" s="471">
        <v>4535.2299999999996</v>
      </c>
      <c r="G519" s="471">
        <v>4508.62</v>
      </c>
      <c r="H519" s="469">
        <f t="shared" si="7"/>
        <v>99.413260187465696</v>
      </c>
    </row>
    <row r="520" spans="1:8">
      <c r="A520" s="605"/>
      <c r="B520" s="605"/>
      <c r="C520" s="445">
        <v>404</v>
      </c>
      <c r="D520" s="445">
        <v>0</v>
      </c>
      <c r="E520" s="461" t="s">
        <v>406</v>
      </c>
      <c r="F520" s="471">
        <v>1800</v>
      </c>
      <c r="G520" s="471">
        <v>1733.65</v>
      </c>
      <c r="H520" s="469">
        <f t="shared" si="7"/>
        <v>96.313888888888897</v>
      </c>
    </row>
    <row r="521" spans="1:8">
      <c r="A521" s="605"/>
      <c r="B521" s="605"/>
      <c r="C521" s="445">
        <v>411</v>
      </c>
      <c r="D521" s="445">
        <v>0</v>
      </c>
      <c r="E521" s="461" t="s">
        <v>407</v>
      </c>
      <c r="F521" s="471">
        <v>5600</v>
      </c>
      <c r="G521" s="471">
        <v>4642.96</v>
      </c>
      <c r="H521" s="469">
        <f t="shared" si="7"/>
        <v>82.910000000000011</v>
      </c>
    </row>
    <row r="522" spans="1:8">
      <c r="A522" s="605"/>
      <c r="B522" s="605"/>
      <c r="C522" s="445">
        <v>411</v>
      </c>
      <c r="D522" s="445">
        <v>7</v>
      </c>
      <c r="E522" s="461" t="s">
        <v>407</v>
      </c>
      <c r="F522" s="471">
        <v>37749.56</v>
      </c>
      <c r="G522" s="471">
        <v>35491.89</v>
      </c>
      <c r="H522" s="469">
        <f t="shared" si="7"/>
        <v>94.019347510275622</v>
      </c>
    </row>
    <row r="523" spans="1:8">
      <c r="A523" s="605"/>
      <c r="B523" s="605"/>
      <c r="C523" s="445">
        <v>411</v>
      </c>
      <c r="D523" s="445">
        <v>9</v>
      </c>
      <c r="E523" s="461" t="s">
        <v>407</v>
      </c>
      <c r="F523" s="471">
        <v>1559.4</v>
      </c>
      <c r="G523" s="471">
        <v>1457.56</v>
      </c>
      <c r="H523" s="469">
        <f t="shared" si="7"/>
        <v>93.469283057586239</v>
      </c>
    </row>
    <row r="524" spans="1:8">
      <c r="A524" s="605"/>
      <c r="B524" s="605"/>
      <c r="C524" s="445">
        <v>412</v>
      </c>
      <c r="D524" s="445">
        <v>0</v>
      </c>
      <c r="E524" s="461" t="s">
        <v>408</v>
      </c>
      <c r="F524" s="471">
        <v>916</v>
      </c>
      <c r="G524" s="471">
        <v>750.14</v>
      </c>
      <c r="H524" s="469">
        <f t="shared" si="7"/>
        <v>81.89301310043669</v>
      </c>
    </row>
    <row r="525" spans="1:8">
      <c r="A525" s="605"/>
      <c r="B525" s="605"/>
      <c r="C525" s="445">
        <v>412</v>
      </c>
      <c r="D525" s="445">
        <v>7</v>
      </c>
      <c r="E525" s="461" t="s">
        <v>408</v>
      </c>
      <c r="F525" s="471">
        <v>5261.47</v>
      </c>
      <c r="G525" s="471">
        <v>5252.95</v>
      </c>
      <c r="H525" s="469">
        <f t="shared" si="7"/>
        <v>99.838068068429536</v>
      </c>
    </row>
    <row r="526" spans="1:8">
      <c r="A526" s="605"/>
      <c r="B526" s="605"/>
      <c r="C526" s="445">
        <v>412</v>
      </c>
      <c r="D526" s="445">
        <v>9</v>
      </c>
      <c r="E526" s="461" t="s">
        <v>408</v>
      </c>
      <c r="F526" s="471">
        <v>240.5</v>
      </c>
      <c r="G526" s="471">
        <v>240.02</v>
      </c>
      <c r="H526" s="469">
        <f t="shared" si="7"/>
        <v>99.800415800415806</v>
      </c>
    </row>
    <row r="527" spans="1:8">
      <c r="A527" s="605"/>
      <c r="B527" s="605"/>
      <c r="C527" s="445">
        <v>417</v>
      </c>
      <c r="D527" s="445">
        <v>0</v>
      </c>
      <c r="E527" s="451" t="s">
        <v>409</v>
      </c>
      <c r="F527" s="471">
        <v>9600</v>
      </c>
      <c r="G527" s="471">
        <v>5600</v>
      </c>
      <c r="H527" s="469">
        <f t="shared" si="7"/>
        <v>58.333333333333336</v>
      </c>
    </row>
    <row r="528" spans="1:8">
      <c r="A528" s="605"/>
      <c r="B528" s="605"/>
      <c r="C528" s="445">
        <v>417</v>
      </c>
      <c r="D528" s="445">
        <v>7</v>
      </c>
      <c r="E528" s="451" t="s">
        <v>409</v>
      </c>
      <c r="F528" s="471">
        <v>188275.6</v>
      </c>
      <c r="G528" s="471">
        <v>188275.6</v>
      </c>
      <c r="H528" s="469">
        <f t="shared" si="7"/>
        <v>100</v>
      </c>
    </row>
    <row r="529" spans="1:8">
      <c r="A529" s="605"/>
      <c r="B529" s="605"/>
      <c r="C529" s="445">
        <v>417</v>
      </c>
      <c r="D529" s="445">
        <v>9</v>
      </c>
      <c r="E529" s="451" t="s">
        <v>409</v>
      </c>
      <c r="F529" s="471">
        <v>11084.4</v>
      </c>
      <c r="G529" s="471">
        <v>11084.4</v>
      </c>
      <c r="H529" s="469">
        <f t="shared" si="7"/>
        <v>100</v>
      </c>
    </row>
    <row r="530" spans="1:8">
      <c r="A530" s="605"/>
      <c r="B530" s="605"/>
      <c r="C530" s="445">
        <v>421</v>
      </c>
      <c r="D530" s="445">
        <v>7</v>
      </c>
      <c r="E530" s="461" t="s">
        <v>401</v>
      </c>
      <c r="F530" s="471">
        <v>9224.07</v>
      </c>
      <c r="G530" s="471">
        <v>9215.2900000000009</v>
      </c>
      <c r="H530" s="469">
        <f t="shared" si="7"/>
        <v>99.904814252276935</v>
      </c>
    </row>
    <row r="531" spans="1:8">
      <c r="A531" s="605"/>
      <c r="B531" s="605"/>
      <c r="C531" s="445">
        <v>421</v>
      </c>
      <c r="D531" s="445">
        <v>9</v>
      </c>
      <c r="E531" s="461" t="s">
        <v>401</v>
      </c>
      <c r="F531" s="471">
        <v>543.05999999999995</v>
      </c>
      <c r="G531" s="471">
        <v>542.54</v>
      </c>
      <c r="H531" s="469">
        <f t="shared" si="7"/>
        <v>99.904246307958616</v>
      </c>
    </row>
    <row r="532" spans="1:8">
      <c r="A532" s="605"/>
      <c r="B532" s="605"/>
      <c r="C532" s="445">
        <v>426</v>
      </c>
      <c r="D532" s="445">
        <v>0</v>
      </c>
      <c r="E532" s="461" t="s">
        <v>410</v>
      </c>
      <c r="F532" s="471">
        <v>2000</v>
      </c>
      <c r="G532" s="471">
        <v>1523.6</v>
      </c>
      <c r="H532" s="469">
        <f t="shared" si="7"/>
        <v>76.179999999999993</v>
      </c>
    </row>
    <row r="533" spans="1:8">
      <c r="A533" s="605"/>
      <c r="B533" s="605"/>
      <c r="C533" s="445">
        <v>430</v>
      </c>
      <c r="D533" s="445">
        <v>0</v>
      </c>
      <c r="E533" s="461" t="s">
        <v>398</v>
      </c>
      <c r="F533" s="471">
        <v>2000</v>
      </c>
      <c r="G533" s="471">
        <v>0</v>
      </c>
      <c r="H533" s="469">
        <f t="shared" si="7"/>
        <v>0</v>
      </c>
    </row>
    <row r="534" spans="1:8">
      <c r="A534" s="605"/>
      <c r="B534" s="605"/>
      <c r="C534" s="445">
        <v>430</v>
      </c>
      <c r="D534" s="445">
        <v>7</v>
      </c>
      <c r="E534" s="461" t="s">
        <v>398</v>
      </c>
      <c r="F534" s="471">
        <v>34387.26</v>
      </c>
      <c r="G534" s="471">
        <v>33907.17</v>
      </c>
      <c r="H534" s="469">
        <f t="shared" si="7"/>
        <v>98.603872480680337</v>
      </c>
    </row>
    <row r="535" spans="1:8">
      <c r="A535" s="605"/>
      <c r="B535" s="605"/>
      <c r="C535" s="445">
        <v>430</v>
      </c>
      <c r="D535" s="445">
        <v>9</v>
      </c>
      <c r="E535" s="461" t="s">
        <v>398</v>
      </c>
      <c r="F535" s="471">
        <v>1996.42</v>
      </c>
      <c r="G535" s="471">
        <v>1996.21</v>
      </c>
      <c r="H535" s="469">
        <f t="shared" ref="H535:H598" si="8">G535/F535*100</f>
        <v>99.989481171296617</v>
      </c>
    </row>
    <row r="536" spans="1:8" ht="22.5">
      <c r="A536" s="605"/>
      <c r="B536" s="605"/>
      <c r="C536" s="445">
        <v>436</v>
      </c>
      <c r="D536" s="445">
        <v>0</v>
      </c>
      <c r="E536" s="452" t="s">
        <v>414</v>
      </c>
      <c r="F536" s="471">
        <v>1000</v>
      </c>
      <c r="G536" s="471">
        <v>0</v>
      </c>
      <c r="H536" s="469">
        <f t="shared" si="8"/>
        <v>0</v>
      </c>
    </row>
    <row r="537" spans="1:8" ht="22.5">
      <c r="A537" s="605"/>
      <c r="B537" s="605"/>
      <c r="C537" s="445">
        <v>440</v>
      </c>
      <c r="D537" s="445">
        <v>7</v>
      </c>
      <c r="E537" s="452" t="s">
        <v>427</v>
      </c>
      <c r="F537" s="471">
        <v>12466.08</v>
      </c>
      <c r="G537" s="471">
        <v>12466.08</v>
      </c>
      <c r="H537" s="469">
        <f t="shared" si="8"/>
        <v>100</v>
      </c>
    </row>
    <row r="538" spans="1:8" ht="22.5">
      <c r="A538" s="605"/>
      <c r="B538" s="605"/>
      <c r="C538" s="445">
        <v>440</v>
      </c>
      <c r="D538" s="445">
        <v>9</v>
      </c>
      <c r="E538" s="452" t="s">
        <v>427</v>
      </c>
      <c r="F538" s="471">
        <v>733.92</v>
      </c>
      <c r="G538" s="471">
        <v>733.92</v>
      </c>
      <c r="H538" s="469">
        <f t="shared" si="8"/>
        <v>100</v>
      </c>
    </row>
    <row r="539" spans="1:8">
      <c r="A539" s="605"/>
      <c r="B539" s="605"/>
      <c r="C539" s="445">
        <v>443</v>
      </c>
      <c r="D539" s="445">
        <v>7</v>
      </c>
      <c r="E539" s="461" t="s">
        <v>429</v>
      </c>
      <c r="F539" s="471">
        <v>21.04</v>
      </c>
      <c r="G539" s="471">
        <v>21.04</v>
      </c>
      <c r="H539" s="469">
        <f t="shared" si="8"/>
        <v>100</v>
      </c>
    </row>
    <row r="540" spans="1:8">
      <c r="A540" s="605"/>
      <c r="B540" s="605"/>
      <c r="C540" s="445">
        <v>443</v>
      </c>
      <c r="D540" s="445">
        <v>9</v>
      </c>
      <c r="E540" s="461" t="s">
        <v>429</v>
      </c>
      <c r="F540" s="471">
        <v>1.24</v>
      </c>
      <c r="G540" s="471">
        <v>1.24</v>
      </c>
      <c r="H540" s="469">
        <f t="shared" si="8"/>
        <v>100</v>
      </c>
    </row>
    <row r="541" spans="1:8">
      <c r="A541" s="605"/>
      <c r="B541" s="605"/>
      <c r="C541" s="445">
        <v>444</v>
      </c>
      <c r="D541" s="445">
        <v>0</v>
      </c>
      <c r="E541" s="461" t="s">
        <v>417</v>
      </c>
      <c r="F541" s="471">
        <v>1093.93</v>
      </c>
      <c r="G541" s="471">
        <v>1093.93</v>
      </c>
      <c r="H541" s="469">
        <f t="shared" si="8"/>
        <v>100</v>
      </c>
    </row>
    <row r="542" spans="1:8">
      <c r="A542" s="441">
        <v>854</v>
      </c>
      <c r="B542" s="441"/>
      <c r="C542" s="442"/>
      <c r="D542" s="442"/>
      <c r="E542" s="458" t="s">
        <v>93</v>
      </c>
      <c r="F542" s="470">
        <f>F543+F563+F579+F595+F597+F599+F619+F624</f>
        <v>5873265.3200000003</v>
      </c>
      <c r="G542" s="470">
        <f>G543+G563+G579+G595+G597+G599+G619+G624</f>
        <v>5806791.3899999997</v>
      </c>
      <c r="H542" s="468">
        <f t="shared" si="8"/>
        <v>98.868194668923962</v>
      </c>
    </row>
    <row r="543" spans="1:8">
      <c r="A543" s="612"/>
      <c r="B543" s="434">
        <v>85406</v>
      </c>
      <c r="C543" s="445"/>
      <c r="D543" s="445"/>
      <c r="E543" s="457" t="s">
        <v>42</v>
      </c>
      <c r="F543" s="471">
        <f>SUM(F544:F562)</f>
        <v>912068</v>
      </c>
      <c r="G543" s="471">
        <f>SUM(G544:G562)</f>
        <v>912062.39</v>
      </c>
      <c r="H543" s="469">
        <f t="shared" si="8"/>
        <v>99.9993849142827</v>
      </c>
    </row>
    <row r="544" spans="1:8">
      <c r="A544" s="613"/>
      <c r="B544" s="605"/>
      <c r="C544" s="445">
        <v>302</v>
      </c>
      <c r="D544" s="445">
        <v>0</v>
      </c>
      <c r="E544" s="462" t="s">
        <v>404</v>
      </c>
      <c r="F544" s="471">
        <v>1425</v>
      </c>
      <c r="G544" s="471">
        <v>1425</v>
      </c>
      <c r="H544" s="469">
        <f t="shared" si="8"/>
        <v>100</v>
      </c>
    </row>
    <row r="545" spans="1:8">
      <c r="A545" s="613"/>
      <c r="B545" s="605"/>
      <c r="C545" s="445">
        <v>401</v>
      </c>
      <c r="D545" s="445">
        <v>0</v>
      </c>
      <c r="E545" s="461" t="s">
        <v>405</v>
      </c>
      <c r="F545" s="471">
        <v>604708</v>
      </c>
      <c r="G545" s="471">
        <v>604708</v>
      </c>
      <c r="H545" s="469">
        <f t="shared" si="8"/>
        <v>100</v>
      </c>
    </row>
    <row r="546" spans="1:8">
      <c r="A546" s="613"/>
      <c r="B546" s="605"/>
      <c r="C546" s="445">
        <v>404</v>
      </c>
      <c r="D546" s="445">
        <v>0</v>
      </c>
      <c r="E546" s="461" t="s">
        <v>406</v>
      </c>
      <c r="F546" s="471">
        <v>43196</v>
      </c>
      <c r="G546" s="471">
        <v>43195.51</v>
      </c>
      <c r="H546" s="469">
        <f t="shared" si="8"/>
        <v>99.998865635707006</v>
      </c>
    </row>
    <row r="547" spans="1:8">
      <c r="A547" s="613"/>
      <c r="B547" s="605"/>
      <c r="C547" s="445">
        <v>411</v>
      </c>
      <c r="D547" s="445">
        <v>0</v>
      </c>
      <c r="E547" s="461" t="s">
        <v>407</v>
      </c>
      <c r="F547" s="471">
        <v>89100</v>
      </c>
      <c r="G547" s="471">
        <v>89100</v>
      </c>
      <c r="H547" s="469">
        <f t="shared" si="8"/>
        <v>100</v>
      </c>
    </row>
    <row r="548" spans="1:8">
      <c r="A548" s="613"/>
      <c r="B548" s="605"/>
      <c r="C548" s="445">
        <v>412</v>
      </c>
      <c r="D548" s="445">
        <v>0</v>
      </c>
      <c r="E548" s="461" t="s">
        <v>408</v>
      </c>
      <c r="F548" s="471">
        <v>11184</v>
      </c>
      <c r="G548" s="471">
        <v>11184</v>
      </c>
      <c r="H548" s="469">
        <f t="shared" si="8"/>
        <v>100</v>
      </c>
    </row>
    <row r="549" spans="1:8">
      <c r="A549" s="613"/>
      <c r="B549" s="605"/>
      <c r="C549" s="445">
        <v>417</v>
      </c>
      <c r="D549" s="445">
        <v>0</v>
      </c>
      <c r="E549" s="451" t="s">
        <v>409</v>
      </c>
      <c r="F549" s="471">
        <v>10586</v>
      </c>
      <c r="G549" s="471">
        <v>10586</v>
      </c>
      <c r="H549" s="469">
        <f t="shared" si="8"/>
        <v>100</v>
      </c>
    </row>
    <row r="550" spans="1:8">
      <c r="A550" s="613"/>
      <c r="B550" s="605"/>
      <c r="C550" s="445">
        <v>421</v>
      </c>
      <c r="D550" s="445">
        <v>0</v>
      </c>
      <c r="E550" s="461" t="s">
        <v>401</v>
      </c>
      <c r="F550" s="471">
        <v>31598</v>
      </c>
      <c r="G550" s="471">
        <v>31598</v>
      </c>
      <c r="H550" s="469">
        <f t="shared" si="8"/>
        <v>100</v>
      </c>
    </row>
    <row r="551" spans="1:8">
      <c r="A551" s="613"/>
      <c r="B551" s="605"/>
      <c r="C551" s="445">
        <v>424</v>
      </c>
      <c r="D551" s="445">
        <v>0</v>
      </c>
      <c r="E551" s="461" t="s">
        <v>431</v>
      </c>
      <c r="F551" s="471">
        <v>1862</v>
      </c>
      <c r="G551" s="471">
        <v>1861.36</v>
      </c>
      <c r="H551" s="469">
        <f t="shared" si="8"/>
        <v>99.965628356605791</v>
      </c>
    </row>
    <row r="552" spans="1:8">
      <c r="A552" s="613"/>
      <c r="B552" s="605"/>
      <c r="C552" s="445">
        <v>426</v>
      </c>
      <c r="D552" s="445">
        <v>0</v>
      </c>
      <c r="E552" s="461" t="s">
        <v>410</v>
      </c>
      <c r="F552" s="471">
        <v>29007</v>
      </c>
      <c r="G552" s="471">
        <v>29007</v>
      </c>
      <c r="H552" s="469">
        <f t="shared" si="8"/>
        <v>100</v>
      </c>
    </row>
    <row r="553" spans="1:8">
      <c r="A553" s="613"/>
      <c r="B553" s="605"/>
      <c r="C553" s="445">
        <v>427</v>
      </c>
      <c r="D553" s="445">
        <v>0</v>
      </c>
      <c r="E553" s="461" t="s">
        <v>411</v>
      </c>
      <c r="F553" s="471">
        <v>790</v>
      </c>
      <c r="G553" s="471">
        <v>789.16</v>
      </c>
      <c r="H553" s="469">
        <f t="shared" si="8"/>
        <v>99.893670886075952</v>
      </c>
    </row>
    <row r="554" spans="1:8">
      <c r="A554" s="613"/>
      <c r="B554" s="605"/>
      <c r="C554" s="445">
        <v>428</v>
      </c>
      <c r="D554" s="445">
        <v>0</v>
      </c>
      <c r="E554" s="461" t="s">
        <v>412</v>
      </c>
      <c r="F554" s="471">
        <v>419</v>
      </c>
      <c r="G554" s="471">
        <v>419</v>
      </c>
      <c r="H554" s="469">
        <f t="shared" si="8"/>
        <v>100</v>
      </c>
    </row>
    <row r="555" spans="1:8">
      <c r="A555" s="613"/>
      <c r="B555" s="605"/>
      <c r="C555" s="445">
        <v>430</v>
      </c>
      <c r="D555" s="445">
        <v>0</v>
      </c>
      <c r="E555" s="461" t="s">
        <v>398</v>
      </c>
      <c r="F555" s="471">
        <v>9121</v>
      </c>
      <c r="G555" s="471">
        <v>9119.52</v>
      </c>
      <c r="H555" s="469">
        <f t="shared" si="8"/>
        <v>99.98377370902314</v>
      </c>
    </row>
    <row r="556" spans="1:8">
      <c r="A556" s="613"/>
      <c r="B556" s="605"/>
      <c r="C556" s="445">
        <v>435</v>
      </c>
      <c r="D556" s="445">
        <v>0</v>
      </c>
      <c r="E556" s="451" t="s">
        <v>413</v>
      </c>
      <c r="F556" s="471">
        <v>2101</v>
      </c>
      <c r="G556" s="471">
        <v>2100.6</v>
      </c>
      <c r="H556" s="469">
        <f t="shared" si="8"/>
        <v>99.980961446930024</v>
      </c>
    </row>
    <row r="557" spans="1:8" ht="22.5">
      <c r="A557" s="613"/>
      <c r="B557" s="605"/>
      <c r="C557" s="445">
        <v>436</v>
      </c>
      <c r="D557" s="445">
        <v>0</v>
      </c>
      <c r="E557" s="452" t="s">
        <v>414</v>
      </c>
      <c r="F557" s="471">
        <v>1188</v>
      </c>
      <c r="G557" s="471">
        <v>1187.48</v>
      </c>
      <c r="H557" s="469">
        <f t="shared" si="8"/>
        <v>99.956228956228955</v>
      </c>
    </row>
    <row r="558" spans="1:8" ht="22.5">
      <c r="A558" s="613"/>
      <c r="B558" s="605"/>
      <c r="C558" s="445">
        <v>437</v>
      </c>
      <c r="D558" s="445">
        <v>0</v>
      </c>
      <c r="E558" s="452" t="s">
        <v>415</v>
      </c>
      <c r="F558" s="471">
        <v>1951</v>
      </c>
      <c r="G558" s="471">
        <v>1950.86</v>
      </c>
      <c r="H558" s="469">
        <f t="shared" si="8"/>
        <v>99.99282419272167</v>
      </c>
    </row>
    <row r="559" spans="1:8">
      <c r="A559" s="613"/>
      <c r="B559" s="605"/>
      <c r="C559" s="445">
        <v>441</v>
      </c>
      <c r="D559" s="445">
        <v>0</v>
      </c>
      <c r="E559" s="461" t="s">
        <v>416</v>
      </c>
      <c r="F559" s="471">
        <v>1014</v>
      </c>
      <c r="G559" s="471">
        <v>1013.63</v>
      </c>
      <c r="H559" s="469">
        <f t="shared" si="8"/>
        <v>99.963510848126234</v>
      </c>
    </row>
    <row r="560" spans="1:8">
      <c r="A560" s="613"/>
      <c r="B560" s="605"/>
      <c r="C560" s="445">
        <v>444</v>
      </c>
      <c r="D560" s="445">
        <v>0</v>
      </c>
      <c r="E560" s="461" t="s">
        <v>417</v>
      </c>
      <c r="F560" s="471">
        <v>47830</v>
      </c>
      <c r="G560" s="471">
        <v>47829.27</v>
      </c>
      <c r="H560" s="469">
        <f t="shared" si="8"/>
        <v>99.998473761237705</v>
      </c>
    </row>
    <row r="561" spans="1:8" ht="22.5">
      <c r="A561" s="613"/>
      <c r="B561" s="605"/>
      <c r="C561" s="445">
        <v>470</v>
      </c>
      <c r="D561" s="445">
        <v>0</v>
      </c>
      <c r="E561" s="454" t="s">
        <v>422</v>
      </c>
      <c r="F561" s="471">
        <v>388</v>
      </c>
      <c r="G561" s="471">
        <v>388</v>
      </c>
      <c r="H561" s="469">
        <f t="shared" si="8"/>
        <v>100</v>
      </c>
    </row>
    <row r="562" spans="1:8">
      <c r="A562" s="613"/>
      <c r="B562" s="605"/>
      <c r="C562" s="445">
        <v>605</v>
      </c>
      <c r="D562" s="445">
        <v>0</v>
      </c>
      <c r="E562" s="452" t="s">
        <v>423</v>
      </c>
      <c r="F562" s="471">
        <v>24600</v>
      </c>
      <c r="G562" s="471">
        <v>24600</v>
      </c>
      <c r="H562" s="469">
        <f t="shared" si="8"/>
        <v>100</v>
      </c>
    </row>
    <row r="563" spans="1:8">
      <c r="A563" s="613"/>
      <c r="B563" s="434">
        <v>85407</v>
      </c>
      <c r="C563" s="445"/>
      <c r="D563" s="445"/>
      <c r="E563" s="457" t="s">
        <v>43</v>
      </c>
      <c r="F563" s="471">
        <f>SUM(F564:F578)</f>
        <v>591159.94999999995</v>
      </c>
      <c r="G563" s="471">
        <f>SUM(G564:G578)</f>
        <v>591159.94999999995</v>
      </c>
      <c r="H563" s="469">
        <f t="shared" si="8"/>
        <v>100</v>
      </c>
    </row>
    <row r="564" spans="1:8">
      <c r="A564" s="613"/>
      <c r="B564" s="605"/>
      <c r="C564" s="445">
        <v>302</v>
      </c>
      <c r="D564" s="445">
        <v>0</v>
      </c>
      <c r="E564" s="451" t="s">
        <v>404</v>
      </c>
      <c r="F564" s="471">
        <v>981.6</v>
      </c>
      <c r="G564" s="471">
        <v>981.6</v>
      </c>
      <c r="H564" s="469">
        <f t="shared" si="8"/>
        <v>100</v>
      </c>
    </row>
    <row r="565" spans="1:8">
      <c r="A565" s="613"/>
      <c r="B565" s="605"/>
      <c r="C565" s="445">
        <v>401</v>
      </c>
      <c r="D565" s="445">
        <v>0</v>
      </c>
      <c r="E565" s="461" t="s">
        <v>405</v>
      </c>
      <c r="F565" s="471">
        <v>273453.83</v>
      </c>
      <c r="G565" s="471">
        <v>273453.83</v>
      </c>
      <c r="H565" s="469">
        <f t="shared" si="8"/>
        <v>100</v>
      </c>
    </row>
    <row r="566" spans="1:8">
      <c r="A566" s="613"/>
      <c r="B566" s="605"/>
      <c r="C566" s="445">
        <v>404</v>
      </c>
      <c r="D566" s="445">
        <v>0</v>
      </c>
      <c r="E566" s="461" t="s">
        <v>406</v>
      </c>
      <c r="F566" s="471">
        <v>19283.37</v>
      </c>
      <c r="G566" s="471">
        <v>19283.37</v>
      </c>
      <c r="H566" s="469">
        <f t="shared" si="8"/>
        <v>100</v>
      </c>
    </row>
    <row r="567" spans="1:8">
      <c r="A567" s="613"/>
      <c r="B567" s="605"/>
      <c r="C567" s="445">
        <v>411</v>
      </c>
      <c r="D567" s="445">
        <v>0</v>
      </c>
      <c r="E567" s="461" t="s">
        <v>407</v>
      </c>
      <c r="F567" s="471">
        <v>46898.400000000001</v>
      </c>
      <c r="G567" s="471">
        <v>46898.400000000001</v>
      </c>
      <c r="H567" s="469">
        <f t="shared" si="8"/>
        <v>100</v>
      </c>
    </row>
    <row r="568" spans="1:8">
      <c r="A568" s="613"/>
      <c r="B568" s="605"/>
      <c r="C568" s="445">
        <v>412</v>
      </c>
      <c r="D568" s="445">
        <v>0</v>
      </c>
      <c r="E568" s="461" t="s">
        <v>408</v>
      </c>
      <c r="F568" s="471">
        <v>5692.36</v>
      </c>
      <c r="G568" s="471">
        <v>5692.36</v>
      </c>
      <c r="H568" s="469">
        <f t="shared" si="8"/>
        <v>100</v>
      </c>
    </row>
    <row r="569" spans="1:8">
      <c r="A569" s="613"/>
      <c r="B569" s="605"/>
      <c r="C569" s="445">
        <v>417</v>
      </c>
      <c r="D569" s="445">
        <v>0</v>
      </c>
      <c r="E569" s="451" t="s">
        <v>409</v>
      </c>
      <c r="F569" s="471">
        <v>75396</v>
      </c>
      <c r="G569" s="471">
        <v>75396</v>
      </c>
      <c r="H569" s="469">
        <f t="shared" si="8"/>
        <v>100</v>
      </c>
    </row>
    <row r="570" spans="1:8">
      <c r="A570" s="613"/>
      <c r="B570" s="605"/>
      <c r="C570" s="445">
        <v>421</v>
      </c>
      <c r="D570" s="445">
        <v>0</v>
      </c>
      <c r="E570" s="461" t="s">
        <v>401</v>
      </c>
      <c r="F570" s="471">
        <v>15236.41</v>
      </c>
      <c r="G570" s="471">
        <v>15236.41</v>
      </c>
      <c r="H570" s="469">
        <f t="shared" si="8"/>
        <v>100</v>
      </c>
    </row>
    <row r="571" spans="1:8">
      <c r="A571" s="613"/>
      <c r="B571" s="605"/>
      <c r="C571" s="445">
        <v>426</v>
      </c>
      <c r="D571" s="445">
        <v>0</v>
      </c>
      <c r="E571" s="461" t="s">
        <v>410</v>
      </c>
      <c r="F571" s="471">
        <v>30688.57</v>
      </c>
      <c r="G571" s="471">
        <v>30688.57</v>
      </c>
      <c r="H571" s="469">
        <f t="shared" si="8"/>
        <v>100</v>
      </c>
    </row>
    <row r="572" spans="1:8">
      <c r="A572" s="613"/>
      <c r="B572" s="605"/>
      <c r="C572" s="445">
        <v>427</v>
      </c>
      <c r="D572" s="445">
        <v>0</v>
      </c>
      <c r="E572" s="461" t="s">
        <v>411</v>
      </c>
      <c r="F572" s="471">
        <v>436.7</v>
      </c>
      <c r="G572" s="471">
        <v>436.7</v>
      </c>
      <c r="H572" s="469">
        <f t="shared" si="8"/>
        <v>100</v>
      </c>
    </row>
    <row r="573" spans="1:8">
      <c r="A573" s="613"/>
      <c r="B573" s="605"/>
      <c r="C573" s="445">
        <v>428</v>
      </c>
      <c r="D573" s="445">
        <v>0</v>
      </c>
      <c r="E573" s="461" t="s">
        <v>412</v>
      </c>
      <c r="F573" s="471">
        <v>241</v>
      </c>
      <c r="G573" s="471">
        <v>241</v>
      </c>
      <c r="H573" s="469">
        <f t="shared" si="8"/>
        <v>100</v>
      </c>
    </row>
    <row r="574" spans="1:8">
      <c r="A574" s="613"/>
      <c r="B574" s="605"/>
      <c r="C574" s="445">
        <v>430</v>
      </c>
      <c r="D574" s="445">
        <v>0</v>
      </c>
      <c r="E574" s="461" t="s">
        <v>398</v>
      </c>
      <c r="F574" s="471">
        <v>7062.45</v>
      </c>
      <c r="G574" s="471">
        <v>7062.45</v>
      </c>
      <c r="H574" s="469">
        <f t="shared" si="8"/>
        <v>100</v>
      </c>
    </row>
    <row r="575" spans="1:8" ht="22.5">
      <c r="A575" s="613"/>
      <c r="B575" s="605"/>
      <c r="C575" s="445">
        <v>437</v>
      </c>
      <c r="D575" s="445">
        <v>0</v>
      </c>
      <c r="E575" s="452" t="s">
        <v>415</v>
      </c>
      <c r="F575" s="471">
        <v>1123.47</v>
      </c>
      <c r="G575" s="471">
        <v>1123.47</v>
      </c>
      <c r="H575" s="469">
        <f t="shared" si="8"/>
        <v>100</v>
      </c>
    </row>
    <row r="576" spans="1:8">
      <c r="A576" s="613"/>
      <c r="B576" s="605"/>
      <c r="C576" s="445">
        <v>441</v>
      </c>
      <c r="D576" s="445">
        <v>0</v>
      </c>
      <c r="E576" s="461" t="s">
        <v>416</v>
      </c>
      <c r="F576" s="471">
        <v>3165.76</v>
      </c>
      <c r="G576" s="471">
        <v>3165.76</v>
      </c>
      <c r="H576" s="469">
        <f t="shared" si="8"/>
        <v>100</v>
      </c>
    </row>
    <row r="577" spans="1:8">
      <c r="A577" s="613"/>
      <c r="B577" s="605"/>
      <c r="C577" s="445">
        <v>444</v>
      </c>
      <c r="D577" s="445">
        <v>0</v>
      </c>
      <c r="E577" s="461" t="s">
        <v>417</v>
      </c>
      <c r="F577" s="471">
        <v>17712.240000000002</v>
      </c>
      <c r="G577" s="471">
        <v>17712.240000000002</v>
      </c>
      <c r="H577" s="469">
        <f t="shared" si="8"/>
        <v>100</v>
      </c>
    </row>
    <row r="578" spans="1:8">
      <c r="A578" s="613"/>
      <c r="B578" s="605"/>
      <c r="C578" s="445">
        <v>605</v>
      </c>
      <c r="D578" s="445">
        <v>0</v>
      </c>
      <c r="E578" s="452" t="s">
        <v>423</v>
      </c>
      <c r="F578" s="471">
        <v>93787.79</v>
      </c>
      <c r="G578" s="471">
        <v>93787.79</v>
      </c>
      <c r="H578" s="469">
        <f t="shared" si="8"/>
        <v>100</v>
      </c>
    </row>
    <row r="579" spans="1:8">
      <c r="A579" s="613"/>
      <c r="B579" s="434">
        <v>85410</v>
      </c>
      <c r="C579" s="445"/>
      <c r="D579" s="445"/>
      <c r="E579" s="457" t="s">
        <v>44</v>
      </c>
      <c r="F579" s="471">
        <f>SUM(F580:F594)</f>
        <v>1491609.08</v>
      </c>
      <c r="G579" s="471">
        <f>SUM(G580:G594)</f>
        <v>1482492.55</v>
      </c>
      <c r="H579" s="469">
        <f t="shared" si="8"/>
        <v>99.388812382397134</v>
      </c>
    </row>
    <row r="580" spans="1:8">
      <c r="A580" s="613"/>
      <c r="B580" s="605"/>
      <c r="C580" s="445">
        <v>302</v>
      </c>
      <c r="D580" s="445">
        <v>0</v>
      </c>
      <c r="E580" s="451" t="s">
        <v>404</v>
      </c>
      <c r="F580" s="471">
        <v>28957</v>
      </c>
      <c r="G580" s="471">
        <v>28957</v>
      </c>
      <c r="H580" s="469">
        <f t="shared" si="8"/>
        <v>100</v>
      </c>
    </row>
    <row r="581" spans="1:8">
      <c r="A581" s="613"/>
      <c r="B581" s="605"/>
      <c r="C581" s="445">
        <v>401</v>
      </c>
      <c r="D581" s="445">
        <v>0</v>
      </c>
      <c r="E581" s="461" t="s">
        <v>405</v>
      </c>
      <c r="F581" s="471">
        <v>259415</v>
      </c>
      <c r="G581" s="471">
        <v>259414.5</v>
      </c>
      <c r="H581" s="469">
        <f t="shared" si="8"/>
        <v>99.999807258639635</v>
      </c>
    </row>
    <row r="582" spans="1:8">
      <c r="A582" s="613"/>
      <c r="B582" s="605"/>
      <c r="C582" s="445">
        <v>404</v>
      </c>
      <c r="D582" s="445">
        <v>0</v>
      </c>
      <c r="E582" s="461" t="s">
        <v>406</v>
      </c>
      <c r="F582" s="471">
        <v>19322</v>
      </c>
      <c r="G582" s="471">
        <v>19321.29</v>
      </c>
      <c r="H582" s="469">
        <f t="shared" si="8"/>
        <v>99.996325432149888</v>
      </c>
    </row>
    <row r="583" spans="1:8">
      <c r="A583" s="613"/>
      <c r="B583" s="605"/>
      <c r="C583" s="445">
        <v>411</v>
      </c>
      <c r="D583" s="445">
        <v>0</v>
      </c>
      <c r="E583" s="461" t="s">
        <v>407</v>
      </c>
      <c r="F583" s="471">
        <v>42383</v>
      </c>
      <c r="G583" s="471">
        <v>42382.83</v>
      </c>
      <c r="H583" s="469">
        <f t="shared" si="8"/>
        <v>99.999598895783691</v>
      </c>
    </row>
    <row r="584" spans="1:8">
      <c r="A584" s="613"/>
      <c r="B584" s="605"/>
      <c r="C584" s="445">
        <v>412</v>
      </c>
      <c r="D584" s="445">
        <v>0</v>
      </c>
      <c r="E584" s="461" t="s">
        <v>408</v>
      </c>
      <c r="F584" s="471">
        <v>6664</v>
      </c>
      <c r="G584" s="471">
        <v>6663.02</v>
      </c>
      <c r="H584" s="469">
        <f t="shared" si="8"/>
        <v>99.985294117647058</v>
      </c>
    </row>
    <row r="585" spans="1:8">
      <c r="A585" s="613"/>
      <c r="B585" s="605"/>
      <c r="C585" s="445">
        <v>417</v>
      </c>
      <c r="D585" s="445">
        <v>0</v>
      </c>
      <c r="E585" s="451" t="s">
        <v>409</v>
      </c>
      <c r="F585" s="471">
        <v>12468</v>
      </c>
      <c r="G585" s="471">
        <v>12467.45</v>
      </c>
      <c r="H585" s="469">
        <f t="shared" si="8"/>
        <v>99.99558870709015</v>
      </c>
    </row>
    <row r="586" spans="1:8">
      <c r="A586" s="613"/>
      <c r="B586" s="605"/>
      <c r="C586" s="445">
        <v>421</v>
      </c>
      <c r="D586" s="445">
        <v>0</v>
      </c>
      <c r="E586" s="461" t="s">
        <v>401</v>
      </c>
      <c r="F586" s="471">
        <v>35426</v>
      </c>
      <c r="G586" s="471">
        <v>35425.949999999997</v>
      </c>
      <c r="H586" s="469">
        <f t="shared" si="8"/>
        <v>99.999858860723762</v>
      </c>
    </row>
    <row r="587" spans="1:8">
      <c r="A587" s="613"/>
      <c r="B587" s="605"/>
      <c r="C587" s="445">
        <v>422</v>
      </c>
      <c r="D587" s="445">
        <v>0</v>
      </c>
      <c r="E587" s="461" t="s">
        <v>452</v>
      </c>
      <c r="F587" s="471">
        <v>35108</v>
      </c>
      <c r="G587" s="471">
        <v>35107.5</v>
      </c>
      <c r="H587" s="469">
        <f t="shared" si="8"/>
        <v>99.998575823174207</v>
      </c>
    </row>
    <row r="588" spans="1:8">
      <c r="A588" s="613"/>
      <c r="B588" s="605"/>
      <c r="C588" s="445">
        <v>426</v>
      </c>
      <c r="D588" s="445">
        <v>0</v>
      </c>
      <c r="E588" s="461" t="s">
        <v>410</v>
      </c>
      <c r="F588" s="471">
        <v>21361</v>
      </c>
      <c r="G588" s="471">
        <v>21360.51</v>
      </c>
      <c r="H588" s="469">
        <f t="shared" si="8"/>
        <v>99.997706099901677</v>
      </c>
    </row>
    <row r="589" spans="1:8">
      <c r="A589" s="613"/>
      <c r="B589" s="605"/>
      <c r="C589" s="445">
        <v>430</v>
      </c>
      <c r="D589" s="445">
        <v>0</v>
      </c>
      <c r="E589" s="461" t="s">
        <v>398</v>
      </c>
      <c r="F589" s="471">
        <v>33237</v>
      </c>
      <c r="G589" s="471">
        <v>24126.28</v>
      </c>
      <c r="H589" s="469">
        <f t="shared" si="8"/>
        <v>72.588621115022406</v>
      </c>
    </row>
    <row r="590" spans="1:8" ht="22.5">
      <c r="A590" s="613"/>
      <c r="B590" s="605"/>
      <c r="C590" s="445">
        <v>437</v>
      </c>
      <c r="D590" s="445">
        <v>0</v>
      </c>
      <c r="E590" s="452" t="s">
        <v>415</v>
      </c>
      <c r="F590" s="471">
        <v>428</v>
      </c>
      <c r="G590" s="471">
        <v>427.03</v>
      </c>
      <c r="H590" s="469">
        <f t="shared" si="8"/>
        <v>99.773364485981304</v>
      </c>
    </row>
    <row r="591" spans="1:8">
      <c r="A591" s="613"/>
      <c r="B591" s="605"/>
      <c r="C591" s="445">
        <v>441</v>
      </c>
      <c r="D591" s="445">
        <v>0</v>
      </c>
      <c r="E591" s="461" t="s">
        <v>416</v>
      </c>
      <c r="F591" s="471">
        <v>384</v>
      </c>
      <c r="G591" s="471">
        <v>383.11</v>
      </c>
      <c r="H591" s="469">
        <f t="shared" si="8"/>
        <v>99.768229166666671</v>
      </c>
    </row>
    <row r="592" spans="1:8">
      <c r="A592" s="613"/>
      <c r="B592" s="605"/>
      <c r="C592" s="445">
        <v>444</v>
      </c>
      <c r="D592" s="445">
        <v>0</v>
      </c>
      <c r="E592" s="461" t="s">
        <v>417</v>
      </c>
      <c r="F592" s="471">
        <v>20098</v>
      </c>
      <c r="G592" s="471">
        <v>20098</v>
      </c>
      <c r="H592" s="469">
        <f t="shared" si="8"/>
        <v>100</v>
      </c>
    </row>
    <row r="593" spans="1:8">
      <c r="A593" s="613"/>
      <c r="B593" s="605"/>
      <c r="C593" s="445">
        <v>453</v>
      </c>
      <c r="D593" s="445">
        <v>0</v>
      </c>
      <c r="E593" s="451" t="s">
        <v>402</v>
      </c>
      <c r="F593" s="471">
        <v>5112</v>
      </c>
      <c r="G593" s="471">
        <v>5112</v>
      </c>
      <c r="H593" s="469">
        <f t="shared" si="8"/>
        <v>100</v>
      </c>
    </row>
    <row r="594" spans="1:8">
      <c r="A594" s="613"/>
      <c r="B594" s="605"/>
      <c r="C594" s="445">
        <v>605</v>
      </c>
      <c r="D594" s="445">
        <v>0</v>
      </c>
      <c r="E594" s="452" t="s">
        <v>423</v>
      </c>
      <c r="F594" s="471">
        <v>971246.07999999996</v>
      </c>
      <c r="G594" s="471">
        <v>971246.07999999996</v>
      </c>
      <c r="H594" s="469">
        <f t="shared" si="8"/>
        <v>100</v>
      </c>
    </row>
    <row r="595" spans="1:8">
      <c r="A595" s="613"/>
      <c r="B595" s="434">
        <v>85415</v>
      </c>
      <c r="C595" s="445"/>
      <c r="D595" s="445"/>
      <c r="E595" s="457" t="s">
        <v>95</v>
      </c>
      <c r="F595" s="471">
        <f>F596</f>
        <v>20000</v>
      </c>
      <c r="G595" s="471">
        <f>G596</f>
        <v>13900</v>
      </c>
      <c r="H595" s="469">
        <f t="shared" si="8"/>
        <v>69.5</v>
      </c>
    </row>
    <row r="596" spans="1:8">
      <c r="A596" s="613"/>
      <c r="B596" s="434"/>
      <c r="C596" s="445">
        <v>324</v>
      </c>
      <c r="D596" s="445">
        <v>0</v>
      </c>
      <c r="E596" s="461" t="s">
        <v>451</v>
      </c>
      <c r="F596" s="471">
        <v>20000</v>
      </c>
      <c r="G596" s="471">
        <v>13900</v>
      </c>
      <c r="H596" s="469">
        <f t="shared" si="8"/>
        <v>69.5</v>
      </c>
    </row>
    <row r="597" spans="1:8">
      <c r="A597" s="613"/>
      <c r="B597" s="434">
        <v>85419</v>
      </c>
      <c r="C597" s="445"/>
      <c r="D597" s="445"/>
      <c r="E597" s="457" t="s">
        <v>148</v>
      </c>
      <c r="F597" s="471">
        <f>F598</f>
        <v>1264100</v>
      </c>
      <c r="G597" s="471">
        <f>G598</f>
        <v>1251883.8400000001</v>
      </c>
      <c r="H597" s="469">
        <f t="shared" si="8"/>
        <v>99.03360810062496</v>
      </c>
    </row>
    <row r="598" spans="1:8" ht="22.5">
      <c r="A598" s="613"/>
      <c r="B598" s="434"/>
      <c r="C598" s="445">
        <v>254</v>
      </c>
      <c r="D598" s="445">
        <v>0</v>
      </c>
      <c r="E598" s="452" t="s">
        <v>449</v>
      </c>
      <c r="F598" s="471">
        <v>1264100</v>
      </c>
      <c r="G598" s="471">
        <v>1251883.8400000001</v>
      </c>
      <c r="H598" s="469">
        <f t="shared" si="8"/>
        <v>99.03360810062496</v>
      </c>
    </row>
    <row r="599" spans="1:8">
      <c r="A599" s="613"/>
      <c r="B599" s="434">
        <v>85420</v>
      </c>
      <c r="C599" s="445"/>
      <c r="D599" s="445"/>
      <c r="E599" s="457" t="s">
        <v>117</v>
      </c>
      <c r="F599" s="471">
        <f>SUM(F600:F618)</f>
        <v>1545538</v>
      </c>
      <c r="G599" s="471">
        <f>SUM(G600:G618)</f>
        <v>1545538</v>
      </c>
      <c r="H599" s="469">
        <f t="shared" ref="H599:H653" si="9">G599/F599*100</f>
        <v>100</v>
      </c>
    </row>
    <row r="600" spans="1:8">
      <c r="A600" s="613"/>
      <c r="B600" s="605"/>
      <c r="C600" s="445">
        <v>302</v>
      </c>
      <c r="D600" s="445">
        <v>0</v>
      </c>
      <c r="E600" s="461" t="s">
        <v>404</v>
      </c>
      <c r="F600" s="471">
        <v>67400</v>
      </c>
      <c r="G600" s="471">
        <v>67400</v>
      </c>
      <c r="H600" s="469">
        <f t="shared" si="9"/>
        <v>100</v>
      </c>
    </row>
    <row r="601" spans="1:8">
      <c r="A601" s="613"/>
      <c r="B601" s="605"/>
      <c r="C601" s="445">
        <v>401</v>
      </c>
      <c r="D601" s="445">
        <v>0</v>
      </c>
      <c r="E601" s="461" t="s">
        <v>405</v>
      </c>
      <c r="F601" s="471">
        <v>860696</v>
      </c>
      <c r="G601" s="471">
        <v>860696</v>
      </c>
      <c r="H601" s="469">
        <f t="shared" si="9"/>
        <v>100</v>
      </c>
    </row>
    <row r="602" spans="1:8">
      <c r="A602" s="613"/>
      <c r="B602" s="605"/>
      <c r="C602" s="445">
        <v>404</v>
      </c>
      <c r="D602" s="445">
        <v>0</v>
      </c>
      <c r="E602" s="461" t="s">
        <v>406</v>
      </c>
      <c r="F602" s="471">
        <v>58126</v>
      </c>
      <c r="G602" s="471">
        <v>58126</v>
      </c>
      <c r="H602" s="469">
        <f t="shared" si="9"/>
        <v>100</v>
      </c>
    </row>
    <row r="603" spans="1:8">
      <c r="A603" s="613"/>
      <c r="B603" s="605"/>
      <c r="C603" s="445">
        <v>411</v>
      </c>
      <c r="D603" s="445">
        <v>0</v>
      </c>
      <c r="E603" s="461" t="s">
        <v>407</v>
      </c>
      <c r="F603" s="471">
        <v>132006</v>
      </c>
      <c r="G603" s="471">
        <v>132006</v>
      </c>
      <c r="H603" s="469">
        <f t="shared" si="9"/>
        <v>100</v>
      </c>
    </row>
    <row r="604" spans="1:8">
      <c r="A604" s="613"/>
      <c r="B604" s="605"/>
      <c r="C604" s="445">
        <v>412</v>
      </c>
      <c r="D604" s="445">
        <v>0</v>
      </c>
      <c r="E604" s="461" t="s">
        <v>408</v>
      </c>
      <c r="F604" s="471">
        <v>19670</v>
      </c>
      <c r="G604" s="471">
        <v>19670</v>
      </c>
      <c r="H604" s="469">
        <f t="shared" si="9"/>
        <v>100</v>
      </c>
    </row>
    <row r="605" spans="1:8">
      <c r="A605" s="613"/>
      <c r="B605" s="605"/>
      <c r="C605" s="445">
        <v>417</v>
      </c>
      <c r="D605" s="445">
        <v>0</v>
      </c>
      <c r="E605" s="451" t="s">
        <v>409</v>
      </c>
      <c r="F605" s="471">
        <v>10100</v>
      </c>
      <c r="G605" s="471">
        <v>10100</v>
      </c>
      <c r="H605" s="469">
        <f t="shared" si="9"/>
        <v>100</v>
      </c>
    </row>
    <row r="606" spans="1:8">
      <c r="A606" s="613"/>
      <c r="B606" s="605"/>
      <c r="C606" s="445">
        <v>421</v>
      </c>
      <c r="D606" s="445">
        <v>0</v>
      </c>
      <c r="E606" s="461" t="s">
        <v>401</v>
      </c>
      <c r="F606" s="471">
        <v>130582</v>
      </c>
      <c r="G606" s="471">
        <v>130582</v>
      </c>
      <c r="H606" s="469">
        <f t="shared" si="9"/>
        <v>100</v>
      </c>
    </row>
    <row r="607" spans="1:8">
      <c r="A607" s="613"/>
      <c r="B607" s="605"/>
      <c r="C607" s="445">
        <v>422</v>
      </c>
      <c r="D607" s="445">
        <v>0</v>
      </c>
      <c r="E607" s="461" t="s">
        <v>452</v>
      </c>
      <c r="F607" s="471">
        <v>4000</v>
      </c>
      <c r="G607" s="471">
        <v>4000</v>
      </c>
      <c r="H607" s="469">
        <f t="shared" si="9"/>
        <v>100</v>
      </c>
    </row>
    <row r="608" spans="1:8">
      <c r="A608" s="613"/>
      <c r="B608" s="605"/>
      <c r="C608" s="445">
        <v>426</v>
      </c>
      <c r="D608" s="445">
        <v>0</v>
      </c>
      <c r="E608" s="461" t="s">
        <v>410</v>
      </c>
      <c r="F608" s="471">
        <v>14000</v>
      </c>
      <c r="G608" s="471">
        <v>14000</v>
      </c>
      <c r="H608" s="469">
        <f t="shared" si="9"/>
        <v>100</v>
      </c>
    </row>
    <row r="609" spans="1:8">
      <c r="A609" s="613"/>
      <c r="B609" s="605"/>
      <c r="C609" s="445">
        <v>427</v>
      </c>
      <c r="D609" s="445">
        <v>0</v>
      </c>
      <c r="E609" s="461" t="s">
        <v>411</v>
      </c>
      <c r="F609" s="471">
        <v>3000</v>
      </c>
      <c r="G609" s="471">
        <v>3000</v>
      </c>
      <c r="H609" s="469">
        <f t="shared" si="9"/>
        <v>100</v>
      </c>
    </row>
    <row r="610" spans="1:8">
      <c r="A610" s="613"/>
      <c r="B610" s="605"/>
      <c r="C610" s="445">
        <v>428</v>
      </c>
      <c r="D610" s="445">
        <v>0</v>
      </c>
      <c r="E610" s="461" t="s">
        <v>412</v>
      </c>
      <c r="F610" s="471">
        <v>1000</v>
      </c>
      <c r="G610" s="471">
        <v>1000</v>
      </c>
      <c r="H610" s="469">
        <f t="shared" si="9"/>
        <v>100</v>
      </c>
    </row>
    <row r="611" spans="1:8">
      <c r="A611" s="613"/>
      <c r="B611" s="605"/>
      <c r="C611" s="445">
        <v>430</v>
      </c>
      <c r="D611" s="445">
        <v>0</v>
      </c>
      <c r="E611" s="461" t="s">
        <v>398</v>
      </c>
      <c r="F611" s="471">
        <v>184000</v>
      </c>
      <c r="G611" s="471">
        <v>184000</v>
      </c>
      <c r="H611" s="469">
        <f t="shared" si="9"/>
        <v>100</v>
      </c>
    </row>
    <row r="612" spans="1:8">
      <c r="A612" s="613"/>
      <c r="B612" s="605"/>
      <c r="C612" s="445">
        <v>435</v>
      </c>
      <c r="D612" s="445">
        <v>0</v>
      </c>
      <c r="E612" s="451" t="s">
        <v>413</v>
      </c>
      <c r="F612" s="471">
        <v>2200</v>
      </c>
      <c r="G612" s="471">
        <v>2200</v>
      </c>
      <c r="H612" s="469">
        <f t="shared" si="9"/>
        <v>100</v>
      </c>
    </row>
    <row r="613" spans="1:8" ht="22.5">
      <c r="A613" s="613"/>
      <c r="B613" s="605"/>
      <c r="C613" s="445">
        <v>436</v>
      </c>
      <c r="D613" s="445">
        <v>0</v>
      </c>
      <c r="E613" s="452" t="s">
        <v>414</v>
      </c>
      <c r="F613" s="471">
        <v>1700</v>
      </c>
      <c r="G613" s="471">
        <v>1700</v>
      </c>
      <c r="H613" s="469">
        <f t="shared" si="9"/>
        <v>100</v>
      </c>
    </row>
    <row r="614" spans="1:8" ht="22.5">
      <c r="A614" s="613"/>
      <c r="B614" s="605"/>
      <c r="C614" s="445">
        <v>437</v>
      </c>
      <c r="D614" s="445">
        <v>0</v>
      </c>
      <c r="E614" s="452" t="s">
        <v>415</v>
      </c>
      <c r="F614" s="471">
        <v>3200</v>
      </c>
      <c r="G614" s="471">
        <v>3200</v>
      </c>
      <c r="H614" s="469">
        <f t="shared" si="9"/>
        <v>100</v>
      </c>
    </row>
    <row r="615" spans="1:8">
      <c r="A615" s="613"/>
      <c r="B615" s="605"/>
      <c r="C615" s="445">
        <v>441</v>
      </c>
      <c r="D615" s="445">
        <v>0</v>
      </c>
      <c r="E615" s="461" t="s">
        <v>416</v>
      </c>
      <c r="F615" s="471">
        <v>3400</v>
      </c>
      <c r="G615" s="471">
        <v>3400</v>
      </c>
      <c r="H615" s="469">
        <f t="shared" si="9"/>
        <v>100</v>
      </c>
    </row>
    <row r="616" spans="1:8">
      <c r="A616" s="613"/>
      <c r="B616" s="605"/>
      <c r="C616" s="445">
        <v>443</v>
      </c>
      <c r="D616" s="445">
        <v>0</v>
      </c>
      <c r="E616" s="451" t="s">
        <v>429</v>
      </c>
      <c r="F616" s="471">
        <v>1560</v>
      </c>
      <c r="G616" s="471">
        <v>1560</v>
      </c>
      <c r="H616" s="469">
        <f t="shared" si="9"/>
        <v>100</v>
      </c>
    </row>
    <row r="617" spans="1:8">
      <c r="A617" s="613"/>
      <c r="B617" s="605"/>
      <c r="C617" s="445">
        <v>444</v>
      </c>
      <c r="D617" s="445">
        <v>0</v>
      </c>
      <c r="E617" s="461" t="s">
        <v>417</v>
      </c>
      <c r="F617" s="471">
        <v>46898</v>
      </c>
      <c r="G617" s="471">
        <v>46898</v>
      </c>
      <c r="H617" s="469">
        <f t="shared" si="9"/>
        <v>100</v>
      </c>
    </row>
    <row r="618" spans="1:8" ht="22.5">
      <c r="A618" s="613"/>
      <c r="B618" s="605"/>
      <c r="C618" s="445">
        <v>470</v>
      </c>
      <c r="D618" s="445">
        <v>0</v>
      </c>
      <c r="E618" s="454" t="s">
        <v>422</v>
      </c>
      <c r="F618" s="471">
        <v>2000</v>
      </c>
      <c r="G618" s="471">
        <v>2000</v>
      </c>
      <c r="H618" s="469">
        <f t="shared" si="9"/>
        <v>100</v>
      </c>
    </row>
    <row r="619" spans="1:8">
      <c r="A619" s="613"/>
      <c r="B619" s="434">
        <v>85446</v>
      </c>
      <c r="C619" s="445"/>
      <c r="D619" s="445"/>
      <c r="E619" s="457" t="s">
        <v>82</v>
      </c>
      <c r="F619" s="471">
        <f>SUM(F620:F623)</f>
        <v>15843.310000000001</v>
      </c>
      <c r="G619" s="471">
        <f>SUM(G620:G623)</f>
        <v>9754.66</v>
      </c>
      <c r="H619" s="469">
        <f t="shared" si="9"/>
        <v>61.569583628673556</v>
      </c>
    </row>
    <row r="620" spans="1:8">
      <c r="A620" s="613"/>
      <c r="B620" s="612"/>
      <c r="C620" s="445">
        <v>421</v>
      </c>
      <c r="D620" s="445">
        <v>0</v>
      </c>
      <c r="E620" s="461" t="s">
        <v>401</v>
      </c>
      <c r="F620" s="471">
        <v>115</v>
      </c>
      <c r="G620" s="471">
        <v>0</v>
      </c>
      <c r="H620" s="469"/>
    </row>
    <row r="621" spans="1:8">
      <c r="A621" s="613"/>
      <c r="B621" s="613"/>
      <c r="C621" s="445">
        <v>430</v>
      </c>
      <c r="D621" s="445">
        <v>0</v>
      </c>
      <c r="E621" s="461" t="s">
        <v>398</v>
      </c>
      <c r="F621" s="471">
        <v>9772.44</v>
      </c>
      <c r="G621" s="471">
        <v>7309.13</v>
      </c>
      <c r="H621" s="469">
        <f t="shared" si="9"/>
        <v>74.793296249452538</v>
      </c>
    </row>
    <row r="622" spans="1:8">
      <c r="A622" s="613"/>
      <c r="B622" s="613"/>
      <c r="C622" s="445">
        <v>441</v>
      </c>
      <c r="D622" s="445">
        <v>0</v>
      </c>
      <c r="E622" s="461" t="s">
        <v>416</v>
      </c>
      <c r="F622" s="471">
        <v>2955.87</v>
      </c>
      <c r="G622" s="471">
        <v>1915.53</v>
      </c>
      <c r="H622" s="469">
        <f t="shared" si="9"/>
        <v>64.804270823818371</v>
      </c>
    </row>
    <row r="623" spans="1:8" ht="22.5">
      <c r="A623" s="613"/>
      <c r="B623" s="614"/>
      <c r="C623" s="445">
        <v>470</v>
      </c>
      <c r="D623" s="445">
        <v>0</v>
      </c>
      <c r="E623" s="454" t="s">
        <v>422</v>
      </c>
      <c r="F623" s="471">
        <v>3000</v>
      </c>
      <c r="G623" s="471">
        <v>530</v>
      </c>
      <c r="H623" s="469">
        <f t="shared" si="9"/>
        <v>17.666666666666668</v>
      </c>
    </row>
    <row r="624" spans="1:8">
      <c r="A624" s="613"/>
      <c r="B624" s="465">
        <v>85495</v>
      </c>
      <c r="C624" s="445"/>
      <c r="D624" s="445"/>
      <c r="E624" s="454" t="s">
        <v>72</v>
      </c>
      <c r="F624" s="471">
        <f>F625+F626</f>
        <v>32946.980000000003</v>
      </c>
      <c r="G624" s="471">
        <f>G625+G626</f>
        <v>0</v>
      </c>
      <c r="H624" s="469"/>
    </row>
    <row r="625" spans="1:8">
      <c r="A625" s="613"/>
      <c r="B625" s="612"/>
      <c r="C625" s="445">
        <v>401</v>
      </c>
      <c r="D625" s="445">
        <v>0</v>
      </c>
      <c r="E625" s="461" t="s">
        <v>405</v>
      </c>
      <c r="F625" s="471">
        <v>337.32</v>
      </c>
      <c r="G625" s="471">
        <v>0</v>
      </c>
      <c r="H625" s="469"/>
    </row>
    <row r="626" spans="1:8">
      <c r="A626" s="614"/>
      <c r="B626" s="614"/>
      <c r="C626" s="445">
        <v>481</v>
      </c>
      <c r="D626" s="445">
        <v>0</v>
      </c>
      <c r="E626" s="454" t="s">
        <v>437</v>
      </c>
      <c r="F626" s="471">
        <v>32609.66</v>
      </c>
      <c r="G626" s="471">
        <v>0</v>
      </c>
      <c r="H626" s="469"/>
    </row>
    <row r="627" spans="1:8">
      <c r="A627" s="441">
        <v>921</v>
      </c>
      <c r="B627" s="441"/>
      <c r="C627" s="442"/>
      <c r="D627" s="442"/>
      <c r="E627" s="458" t="s">
        <v>115</v>
      </c>
      <c r="F627" s="470">
        <f>F628+F632+F634</f>
        <v>162800</v>
      </c>
      <c r="G627" s="470">
        <f>G628+G632+G634</f>
        <v>157065.91</v>
      </c>
      <c r="H627" s="468">
        <f t="shared" si="9"/>
        <v>96.477831695331702</v>
      </c>
    </row>
    <row r="628" spans="1:8">
      <c r="A628" s="605"/>
      <c r="B628" s="434">
        <v>92105</v>
      </c>
      <c r="C628" s="445"/>
      <c r="D628" s="445"/>
      <c r="E628" s="457" t="s">
        <v>116</v>
      </c>
      <c r="F628" s="471">
        <f>SUM(F629:F631)</f>
        <v>55000</v>
      </c>
      <c r="G628" s="471">
        <f>SUM(G629:G631)</f>
        <v>49265.91</v>
      </c>
      <c r="H628" s="469">
        <f t="shared" si="9"/>
        <v>89.57438181818182</v>
      </c>
    </row>
    <row r="629" spans="1:8">
      <c r="A629" s="605"/>
      <c r="B629" s="605"/>
      <c r="C629" s="445">
        <v>417</v>
      </c>
      <c r="D629" s="445">
        <v>0</v>
      </c>
      <c r="E629" s="451" t="s">
        <v>409</v>
      </c>
      <c r="F629" s="471">
        <v>20000</v>
      </c>
      <c r="G629" s="471">
        <v>18650</v>
      </c>
      <c r="H629" s="469">
        <f t="shared" si="9"/>
        <v>93.25</v>
      </c>
    </row>
    <row r="630" spans="1:8">
      <c r="A630" s="605"/>
      <c r="B630" s="605"/>
      <c r="C630" s="445">
        <v>421</v>
      </c>
      <c r="D630" s="445">
        <v>0</v>
      </c>
      <c r="E630" s="461" t="s">
        <v>401</v>
      </c>
      <c r="F630" s="471">
        <v>10000</v>
      </c>
      <c r="G630" s="471">
        <v>6375.68</v>
      </c>
      <c r="H630" s="469">
        <f t="shared" si="9"/>
        <v>63.756800000000005</v>
      </c>
    </row>
    <row r="631" spans="1:8">
      <c r="A631" s="605"/>
      <c r="B631" s="605"/>
      <c r="C631" s="445">
        <v>430</v>
      </c>
      <c r="D631" s="445">
        <v>0</v>
      </c>
      <c r="E631" s="461" t="s">
        <v>398</v>
      </c>
      <c r="F631" s="471">
        <v>25000</v>
      </c>
      <c r="G631" s="471">
        <v>24240.23</v>
      </c>
      <c r="H631" s="469">
        <f t="shared" si="9"/>
        <v>96.960920000000002</v>
      </c>
    </row>
    <row r="632" spans="1:8">
      <c r="A632" s="605"/>
      <c r="B632" s="434">
        <v>92116</v>
      </c>
      <c r="C632" s="445"/>
      <c r="D632" s="445"/>
      <c r="E632" s="435" t="s">
        <v>466</v>
      </c>
      <c r="F632" s="471">
        <f>F633</f>
        <v>57800</v>
      </c>
      <c r="G632" s="471">
        <f>G633</f>
        <v>57800</v>
      </c>
      <c r="H632" s="469">
        <f t="shared" si="9"/>
        <v>100</v>
      </c>
    </row>
    <row r="633" spans="1:8" ht="33.75" customHeight="1">
      <c r="A633" s="605"/>
      <c r="B633" s="434"/>
      <c r="C633" s="445">
        <v>231</v>
      </c>
      <c r="D633" s="445">
        <v>0</v>
      </c>
      <c r="E633" s="467" t="s">
        <v>464</v>
      </c>
      <c r="F633" s="471">
        <v>57800</v>
      </c>
      <c r="G633" s="471">
        <v>57800</v>
      </c>
      <c r="H633" s="469">
        <f t="shared" si="9"/>
        <v>100</v>
      </c>
    </row>
    <row r="634" spans="1:8">
      <c r="A634" s="605"/>
      <c r="B634" s="434">
        <v>92120</v>
      </c>
      <c r="C634" s="445"/>
      <c r="D634" s="445"/>
      <c r="E634" s="435" t="s">
        <v>363</v>
      </c>
      <c r="F634" s="471">
        <f>F635</f>
        <v>50000</v>
      </c>
      <c r="G634" s="471">
        <f>G635</f>
        <v>50000</v>
      </c>
      <c r="H634" s="469">
        <f t="shared" si="9"/>
        <v>100</v>
      </c>
    </row>
    <row r="635" spans="1:8" ht="45" customHeight="1">
      <c r="A635" s="605"/>
      <c r="B635" s="434"/>
      <c r="C635" s="445">
        <v>272</v>
      </c>
      <c r="D635" s="445">
        <v>0</v>
      </c>
      <c r="E635" s="454" t="s">
        <v>467</v>
      </c>
      <c r="F635" s="471">
        <v>50000</v>
      </c>
      <c r="G635" s="471">
        <v>50000</v>
      </c>
      <c r="H635" s="469">
        <f t="shared" si="9"/>
        <v>100</v>
      </c>
    </row>
    <row r="636" spans="1:8">
      <c r="A636" s="441">
        <v>926</v>
      </c>
      <c r="B636" s="441"/>
      <c r="C636" s="442"/>
      <c r="D636" s="442"/>
      <c r="E636" s="458" t="s">
        <v>352</v>
      </c>
      <c r="F636" s="470">
        <f>F637+F647+F651</f>
        <v>1118342.9099999999</v>
      </c>
      <c r="G636" s="470">
        <f>G637+G647+G651</f>
        <v>1105488.52</v>
      </c>
      <c r="H636" s="468">
        <f t="shared" si="9"/>
        <v>98.850585997813511</v>
      </c>
    </row>
    <row r="637" spans="1:8">
      <c r="A637" s="605"/>
      <c r="B637" s="434">
        <v>92601</v>
      </c>
      <c r="C637" s="445"/>
      <c r="D637" s="445"/>
      <c r="E637" s="457" t="s">
        <v>149</v>
      </c>
      <c r="F637" s="471">
        <f>SUM(F638:F646)</f>
        <v>1051599.9099999999</v>
      </c>
      <c r="G637" s="471">
        <f>SUM(G638:G646)</f>
        <v>1045239.49</v>
      </c>
      <c r="H637" s="469">
        <f t="shared" si="9"/>
        <v>99.395167312252823</v>
      </c>
    </row>
    <row r="638" spans="1:8" ht="45" customHeight="1">
      <c r="A638" s="605"/>
      <c r="B638" s="612"/>
      <c r="C638" s="445">
        <v>291</v>
      </c>
      <c r="D638" s="445">
        <v>0</v>
      </c>
      <c r="E638" s="457" t="s">
        <v>468</v>
      </c>
      <c r="F638" s="471">
        <v>900</v>
      </c>
      <c r="G638" s="471">
        <v>900</v>
      </c>
      <c r="H638" s="469"/>
    </row>
    <row r="639" spans="1:8">
      <c r="A639" s="605"/>
      <c r="B639" s="613"/>
      <c r="C639" s="445">
        <v>401</v>
      </c>
      <c r="D639" s="445">
        <v>0</v>
      </c>
      <c r="E639" s="461" t="s">
        <v>405</v>
      </c>
      <c r="F639" s="471">
        <v>18720</v>
      </c>
      <c r="G639" s="471">
        <v>18317.97</v>
      </c>
      <c r="H639" s="469">
        <f t="shared" si="9"/>
        <v>97.852403846153862</v>
      </c>
    </row>
    <row r="640" spans="1:8">
      <c r="A640" s="605"/>
      <c r="B640" s="613"/>
      <c r="C640" s="445">
        <v>404</v>
      </c>
      <c r="D640" s="445">
        <v>0</v>
      </c>
      <c r="E640" s="461" t="s">
        <v>406</v>
      </c>
      <c r="F640" s="471">
        <v>1400</v>
      </c>
      <c r="G640" s="471">
        <v>1376.69</v>
      </c>
      <c r="H640" s="469">
        <f t="shared" si="9"/>
        <v>98.335000000000008</v>
      </c>
    </row>
    <row r="641" spans="1:8">
      <c r="A641" s="605"/>
      <c r="B641" s="613"/>
      <c r="C641" s="445">
        <v>411</v>
      </c>
      <c r="D641" s="445">
        <v>0</v>
      </c>
      <c r="E641" s="461" t="s">
        <v>407</v>
      </c>
      <c r="F641" s="471">
        <v>4560.96</v>
      </c>
      <c r="G641" s="471">
        <v>4025.51</v>
      </c>
      <c r="H641" s="469">
        <f t="shared" si="9"/>
        <v>88.260146986599324</v>
      </c>
    </row>
    <row r="642" spans="1:8">
      <c r="A642" s="605"/>
      <c r="B642" s="613"/>
      <c r="C642" s="445">
        <v>412</v>
      </c>
      <c r="D642" s="445">
        <v>0</v>
      </c>
      <c r="E642" s="461" t="s">
        <v>408</v>
      </c>
      <c r="F642" s="471">
        <v>740.02</v>
      </c>
      <c r="G642" s="471">
        <v>454.15</v>
      </c>
      <c r="H642" s="469">
        <f t="shared" si="9"/>
        <v>61.369962973973678</v>
      </c>
    </row>
    <row r="643" spans="1:8">
      <c r="A643" s="605"/>
      <c r="B643" s="613"/>
      <c r="C643" s="445">
        <v>417</v>
      </c>
      <c r="D643" s="445">
        <v>0</v>
      </c>
      <c r="E643" s="451" t="s">
        <v>409</v>
      </c>
      <c r="F643" s="471">
        <v>22085</v>
      </c>
      <c r="G643" s="471">
        <v>19071.240000000002</v>
      </c>
      <c r="H643" s="469">
        <f t="shared" si="9"/>
        <v>86.35381480642971</v>
      </c>
    </row>
    <row r="644" spans="1:8">
      <c r="A644" s="605"/>
      <c r="B644" s="613"/>
      <c r="C644" s="445">
        <v>427</v>
      </c>
      <c r="D644" s="445">
        <v>0</v>
      </c>
      <c r="E644" s="461" t="s">
        <v>411</v>
      </c>
      <c r="F644" s="471">
        <v>2100</v>
      </c>
      <c r="G644" s="471">
        <v>0</v>
      </c>
      <c r="H644" s="469">
        <f t="shared" si="9"/>
        <v>0</v>
      </c>
    </row>
    <row r="645" spans="1:8">
      <c r="A645" s="605"/>
      <c r="B645" s="613"/>
      <c r="C645" s="445">
        <v>444</v>
      </c>
      <c r="D645" s="445">
        <v>0</v>
      </c>
      <c r="E645" s="461" t="s">
        <v>417</v>
      </c>
      <c r="F645" s="471">
        <v>1093.93</v>
      </c>
      <c r="G645" s="471">
        <v>1093.93</v>
      </c>
      <c r="H645" s="469">
        <f t="shared" si="9"/>
        <v>100</v>
      </c>
    </row>
    <row r="646" spans="1:8" ht="33.75" customHeight="1">
      <c r="A646" s="605"/>
      <c r="B646" s="614"/>
      <c r="C646" s="445">
        <v>630</v>
      </c>
      <c r="D646" s="445">
        <v>0</v>
      </c>
      <c r="E646" s="454" t="s">
        <v>426</v>
      </c>
      <c r="F646" s="471">
        <v>1000000</v>
      </c>
      <c r="G646" s="471">
        <v>1000000</v>
      </c>
      <c r="H646" s="469">
        <f t="shared" si="9"/>
        <v>100</v>
      </c>
    </row>
    <row r="647" spans="1:8">
      <c r="A647" s="605"/>
      <c r="B647" s="434">
        <v>92605</v>
      </c>
      <c r="C647" s="445"/>
      <c r="D647" s="445"/>
      <c r="E647" s="457" t="s">
        <v>97</v>
      </c>
      <c r="F647" s="471">
        <f>SUM(F648:F650)</f>
        <v>60000</v>
      </c>
      <c r="G647" s="471">
        <f>SUM(G648:G650)</f>
        <v>53506.03</v>
      </c>
      <c r="H647" s="469">
        <f t="shared" si="9"/>
        <v>89.176716666666664</v>
      </c>
    </row>
    <row r="648" spans="1:8" ht="22.5" customHeight="1">
      <c r="A648" s="605"/>
      <c r="B648" s="605"/>
      <c r="C648" s="445">
        <v>282</v>
      </c>
      <c r="D648" s="445">
        <v>0</v>
      </c>
      <c r="E648" s="454" t="s">
        <v>462</v>
      </c>
      <c r="F648" s="471">
        <v>45000</v>
      </c>
      <c r="G648" s="471">
        <v>45000</v>
      </c>
      <c r="H648" s="469">
        <f t="shared" si="9"/>
        <v>100</v>
      </c>
    </row>
    <row r="649" spans="1:8">
      <c r="A649" s="605"/>
      <c r="B649" s="605"/>
      <c r="C649" s="445">
        <v>421</v>
      </c>
      <c r="D649" s="445">
        <v>0</v>
      </c>
      <c r="E649" s="461" t="s">
        <v>401</v>
      </c>
      <c r="F649" s="471">
        <v>7000</v>
      </c>
      <c r="G649" s="471">
        <v>6980.59</v>
      </c>
      <c r="H649" s="469">
        <f t="shared" si="9"/>
        <v>99.722714285714289</v>
      </c>
    </row>
    <row r="650" spans="1:8">
      <c r="A650" s="605"/>
      <c r="B650" s="605"/>
      <c r="C650" s="445">
        <v>430</v>
      </c>
      <c r="D650" s="445">
        <v>0</v>
      </c>
      <c r="E650" s="461" t="s">
        <v>398</v>
      </c>
      <c r="F650" s="471">
        <v>8000</v>
      </c>
      <c r="G650" s="471">
        <v>1525.44</v>
      </c>
      <c r="H650" s="469">
        <f t="shared" si="9"/>
        <v>19.068000000000001</v>
      </c>
    </row>
    <row r="651" spans="1:8">
      <c r="A651" s="605"/>
      <c r="B651" s="434">
        <v>92695</v>
      </c>
      <c r="C651" s="445"/>
      <c r="D651" s="445"/>
      <c r="E651" s="435" t="s">
        <v>72</v>
      </c>
      <c r="F651" s="471">
        <f>SUM(F652:F652)</f>
        <v>6743</v>
      </c>
      <c r="G651" s="471">
        <f>SUM(G652:G652)</f>
        <v>6743</v>
      </c>
      <c r="H651" s="469">
        <f t="shared" si="9"/>
        <v>100</v>
      </c>
    </row>
    <row r="652" spans="1:8" ht="33.75">
      <c r="A652" s="605"/>
      <c r="B652" s="434"/>
      <c r="C652" s="445">
        <v>271</v>
      </c>
      <c r="D652" s="445">
        <v>0</v>
      </c>
      <c r="E652" s="454" t="s">
        <v>469</v>
      </c>
      <c r="F652" s="471">
        <v>6743</v>
      </c>
      <c r="G652" s="471">
        <v>6743</v>
      </c>
      <c r="H652" s="469">
        <f t="shared" si="9"/>
        <v>100</v>
      </c>
    </row>
    <row r="653" spans="1:8">
      <c r="A653" s="615" t="s">
        <v>121</v>
      </c>
      <c r="B653" s="615"/>
      <c r="C653" s="615"/>
      <c r="D653" s="615"/>
      <c r="E653" s="615"/>
      <c r="F653" s="470">
        <f>F8+F13+F20+F50+F63+F86+F155+F194+F201+F340+F357+F483+F542+F627+F636+F198</f>
        <v>62258722.949999996</v>
      </c>
      <c r="G653" s="470">
        <f>G8+G13+G20+G50+G63+G86+G155+G194+G201+G340+G357+G483+G542+G627+G636+G198</f>
        <v>61244296.620000005</v>
      </c>
      <c r="H653" s="468">
        <f t="shared" si="9"/>
        <v>98.370627790077421</v>
      </c>
    </row>
    <row r="654" spans="1:8">
      <c r="A654" s="429"/>
      <c r="B654" s="429"/>
      <c r="C654" s="430"/>
      <c r="D654" s="430"/>
      <c r="E654" s="431"/>
      <c r="F654" s="432"/>
      <c r="G654" s="432"/>
      <c r="H654" s="433"/>
    </row>
    <row r="655" spans="1:8">
      <c r="A655" s="429"/>
      <c r="B655" s="429"/>
      <c r="C655" s="430"/>
      <c r="D655" s="430"/>
      <c r="E655" s="431"/>
      <c r="F655" s="432"/>
      <c r="G655" s="432"/>
      <c r="H655" s="433"/>
    </row>
  </sheetData>
  <mergeCells count="70">
    <mergeCell ref="B487:B494"/>
    <mergeCell ref="B496:B511"/>
    <mergeCell ref="B513:B541"/>
    <mergeCell ref="A653:E653"/>
    <mergeCell ref="A543:A626"/>
    <mergeCell ref="B544:B562"/>
    <mergeCell ref="B564:B578"/>
    <mergeCell ref="B580:B594"/>
    <mergeCell ref="B600:B618"/>
    <mergeCell ref="B620:B623"/>
    <mergeCell ref="B625:B626"/>
    <mergeCell ref="A628:A635"/>
    <mergeCell ref="B629:B631"/>
    <mergeCell ref="A637:A652"/>
    <mergeCell ref="B638:B646"/>
    <mergeCell ref="B648:B650"/>
    <mergeCell ref="A341:A356"/>
    <mergeCell ref="B342:B346"/>
    <mergeCell ref="B348:B349"/>
    <mergeCell ref="B353:B354"/>
    <mergeCell ref="A358:A482"/>
    <mergeCell ref="B359:B384"/>
    <mergeCell ref="B386:B387"/>
    <mergeCell ref="B389:B408"/>
    <mergeCell ref="B410:B415"/>
    <mergeCell ref="B417:B436"/>
    <mergeCell ref="B438:B457"/>
    <mergeCell ref="B459:B474"/>
    <mergeCell ref="B476:B478"/>
    <mergeCell ref="B480:B482"/>
    <mergeCell ref="A484:A541"/>
    <mergeCell ref="A202:A339"/>
    <mergeCell ref="B203:B222"/>
    <mergeCell ref="B224:B236"/>
    <mergeCell ref="B238:B263"/>
    <mergeCell ref="B267:B296"/>
    <mergeCell ref="B298:B311"/>
    <mergeCell ref="B313:B318"/>
    <mergeCell ref="B320:B325"/>
    <mergeCell ref="B327:B335"/>
    <mergeCell ref="B337:B339"/>
    <mergeCell ref="A199:A200"/>
    <mergeCell ref="A64:A85"/>
    <mergeCell ref="B67:B68"/>
    <mergeCell ref="B70:B85"/>
    <mergeCell ref="A87:A154"/>
    <mergeCell ref="B88:B90"/>
    <mergeCell ref="B92:B94"/>
    <mergeCell ref="B96:B123"/>
    <mergeCell ref="B125:B130"/>
    <mergeCell ref="B132:B149"/>
    <mergeCell ref="B151:B154"/>
    <mergeCell ref="A156:A193"/>
    <mergeCell ref="B161:B188"/>
    <mergeCell ref="B190:B193"/>
    <mergeCell ref="A195:A197"/>
    <mergeCell ref="B196:B197"/>
    <mergeCell ref="A51:A62"/>
    <mergeCell ref="B52:B62"/>
    <mergeCell ref="G1:H1"/>
    <mergeCell ref="A2:H2"/>
    <mergeCell ref="A3:H3"/>
    <mergeCell ref="A4:H4"/>
    <mergeCell ref="C6:D6"/>
    <mergeCell ref="A9:A12"/>
    <mergeCell ref="A14:A19"/>
    <mergeCell ref="B17:B19"/>
    <mergeCell ref="A21:A49"/>
    <mergeCell ref="B22:B46"/>
    <mergeCell ref="B48:B49"/>
  </mergeCells>
  <pageMargins left="0.7" right="0.7" top="0.75" bottom="0.75" header="0.3" footer="0.3"/>
  <pageSetup paperSize="9" orientation="portrait" r:id="rId1"/>
  <headerFooter>
    <oddFooter>&amp;CTabela Nr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X28"/>
  <sheetViews>
    <sheetView view="pageLayout" workbookViewId="0">
      <selection activeCell="I22" sqref="I22:I24"/>
    </sheetView>
  </sheetViews>
  <sheetFormatPr defaultRowHeight="12.75"/>
  <cols>
    <col min="1" max="1" width="31.42578125" customWidth="1"/>
    <col min="2" max="8" width="9.42578125" bestFit="1" customWidth="1"/>
    <col min="9" max="9" width="8.7109375" customWidth="1"/>
    <col min="10" max="10" width="8" customWidth="1"/>
    <col min="11" max="11" width="8.140625" customWidth="1"/>
    <col min="12" max="12" width="11.28515625" customWidth="1"/>
    <col min="13" max="13" width="0" hidden="1" customWidth="1"/>
    <col min="14" max="14" width="33.7109375" customWidth="1"/>
    <col min="15" max="16" width="9.42578125" bestFit="1" customWidth="1"/>
    <col min="17" max="17" width="11.140625" customWidth="1"/>
    <col min="18" max="18" width="9.42578125" bestFit="1" customWidth="1"/>
    <col min="19" max="20" width="10.42578125" bestFit="1" customWidth="1"/>
    <col min="21" max="21" width="9.42578125" bestFit="1" customWidth="1"/>
    <col min="22" max="22" width="9.42578125" hidden="1" customWidth="1"/>
    <col min="23" max="23" width="10.42578125" bestFit="1" customWidth="1"/>
    <col min="24" max="24" width="11" customWidth="1"/>
  </cols>
  <sheetData>
    <row r="1" spans="1:24">
      <c r="A1" s="301"/>
      <c r="B1" s="301"/>
      <c r="C1" s="301"/>
      <c r="D1" s="301"/>
      <c r="E1" s="301"/>
      <c r="F1" s="301"/>
      <c r="G1" s="301"/>
      <c r="H1" s="301"/>
      <c r="I1" s="589" t="s">
        <v>303</v>
      </c>
      <c r="J1" s="589"/>
      <c r="K1" s="589"/>
      <c r="L1" s="589"/>
      <c r="M1" s="302"/>
      <c r="N1" s="303"/>
      <c r="O1" s="301"/>
      <c r="P1" s="301"/>
      <c r="Q1" s="301"/>
      <c r="R1" s="301"/>
      <c r="S1" s="301"/>
      <c r="T1" s="301"/>
      <c r="U1" s="301"/>
      <c r="V1" s="301"/>
      <c r="W1" s="301"/>
      <c r="X1" s="301"/>
    </row>
    <row r="2" spans="1:24" ht="15.75">
      <c r="A2" s="616" t="s">
        <v>304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304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</row>
    <row r="3" spans="1:24">
      <c r="A3" s="617" t="s">
        <v>305</v>
      </c>
      <c r="B3" s="617"/>
      <c r="C3" s="301"/>
      <c r="D3" s="301"/>
      <c r="E3" s="301"/>
      <c r="F3" s="301"/>
      <c r="G3" s="301"/>
      <c r="H3" s="301"/>
      <c r="I3" s="301"/>
      <c r="J3" s="301"/>
      <c r="K3" s="301"/>
      <c r="L3" s="301" t="s">
        <v>161</v>
      </c>
      <c r="M3" s="302"/>
      <c r="N3" s="617" t="s">
        <v>306</v>
      </c>
      <c r="O3" s="617"/>
      <c r="P3" s="301"/>
      <c r="Q3" s="301"/>
      <c r="R3" s="301"/>
      <c r="S3" s="301"/>
      <c r="T3" s="301"/>
      <c r="U3" s="301"/>
      <c r="V3" s="301"/>
      <c r="W3" s="301" t="s">
        <v>161</v>
      </c>
      <c r="X3" s="303"/>
    </row>
    <row r="4" spans="1:24" ht="56.25" customHeight="1">
      <c r="A4" s="305" t="s">
        <v>307</v>
      </c>
      <c r="B4" s="130" t="s">
        <v>308</v>
      </c>
      <c r="C4" s="130" t="s">
        <v>309</v>
      </c>
      <c r="D4" s="130" t="s">
        <v>310</v>
      </c>
      <c r="E4" s="130" t="s">
        <v>311</v>
      </c>
      <c r="F4" s="130" t="s">
        <v>312</v>
      </c>
      <c r="G4" s="130" t="s">
        <v>313</v>
      </c>
      <c r="H4" s="130" t="s">
        <v>314</v>
      </c>
      <c r="I4" s="130" t="s">
        <v>315</v>
      </c>
      <c r="J4" s="130" t="s">
        <v>316</v>
      </c>
      <c r="K4" s="130" t="s">
        <v>317</v>
      </c>
      <c r="L4" s="306" t="s">
        <v>318</v>
      </c>
      <c r="M4" s="307"/>
      <c r="N4" s="305" t="s">
        <v>307</v>
      </c>
      <c r="O4" s="130" t="s">
        <v>319</v>
      </c>
      <c r="P4" s="130" t="s">
        <v>320</v>
      </c>
      <c r="Q4" s="130" t="s">
        <v>321</v>
      </c>
      <c r="R4" s="130" t="s">
        <v>322</v>
      </c>
      <c r="S4" s="130" t="s">
        <v>323</v>
      </c>
      <c r="T4" s="130" t="s">
        <v>324</v>
      </c>
      <c r="U4" s="130" t="s">
        <v>325</v>
      </c>
      <c r="V4" s="130" t="s">
        <v>326</v>
      </c>
      <c r="W4" s="306" t="s">
        <v>327</v>
      </c>
      <c r="X4" s="308" t="s">
        <v>328</v>
      </c>
    </row>
    <row r="5" spans="1:24" ht="14.25" customHeight="1">
      <c r="A5" s="117" t="s">
        <v>329</v>
      </c>
      <c r="B5" s="330">
        <v>1240468.8500000001</v>
      </c>
      <c r="C5" s="330">
        <v>795398.21</v>
      </c>
      <c r="D5" s="330"/>
      <c r="E5" s="330"/>
      <c r="F5" s="330"/>
      <c r="G5" s="330"/>
      <c r="H5" s="330">
        <v>30067.39</v>
      </c>
      <c r="I5" s="330">
        <v>9473.4</v>
      </c>
      <c r="J5" s="330"/>
      <c r="K5" s="330"/>
      <c r="L5" s="320">
        <f>SUM(B5:K5)</f>
        <v>2075407.8499999999</v>
      </c>
      <c r="M5" s="309"/>
      <c r="N5" s="117" t="s">
        <v>329</v>
      </c>
      <c r="O5" s="319"/>
      <c r="P5" s="319"/>
      <c r="Q5" s="319"/>
      <c r="R5" s="319"/>
      <c r="S5" s="319"/>
      <c r="T5" s="319"/>
      <c r="U5" s="319"/>
      <c r="V5" s="319"/>
      <c r="W5" s="320">
        <f t="shared" ref="W5:W12" si="0">SUM(O5:U5)</f>
        <v>0</v>
      </c>
      <c r="X5" s="321">
        <f t="shared" ref="X5:X25" si="1">W5+L5</f>
        <v>2075407.8499999999</v>
      </c>
    </row>
    <row r="6" spans="1:24" ht="13.5" customHeight="1">
      <c r="A6" s="117" t="s">
        <v>330</v>
      </c>
      <c r="B6" s="330"/>
      <c r="C6" s="330"/>
      <c r="D6" s="330"/>
      <c r="E6" s="330"/>
      <c r="F6" s="330">
        <v>4404757.47</v>
      </c>
      <c r="G6" s="330">
        <v>270297.74</v>
      </c>
      <c r="H6" s="330"/>
      <c r="I6" s="330">
        <v>15870.31</v>
      </c>
      <c r="J6" s="330"/>
      <c r="K6" s="330"/>
      <c r="L6" s="320">
        <f t="shared" ref="L6:L13" si="2">SUM(B6:K6)</f>
        <v>4690925.5199999996</v>
      </c>
      <c r="M6" s="309"/>
      <c r="N6" s="117" t="s">
        <v>331</v>
      </c>
      <c r="O6" s="319"/>
      <c r="P6" s="319"/>
      <c r="Q6" s="319">
        <v>162447.72</v>
      </c>
      <c r="R6" s="319"/>
      <c r="S6" s="319"/>
      <c r="T6" s="319"/>
      <c r="U6" s="319"/>
      <c r="V6" s="319"/>
      <c r="W6" s="320">
        <f t="shared" si="0"/>
        <v>162447.72</v>
      </c>
      <c r="X6" s="321">
        <f t="shared" si="1"/>
        <v>4853373.2399999993</v>
      </c>
    </row>
    <row r="7" spans="1:24" ht="12" customHeight="1">
      <c r="A7" s="117" t="s">
        <v>332</v>
      </c>
      <c r="B7" s="330"/>
      <c r="C7" s="330"/>
      <c r="D7" s="330">
        <v>1412006.72</v>
      </c>
      <c r="E7" s="330"/>
      <c r="F7" s="330">
        <v>545532.5</v>
      </c>
      <c r="G7" s="330"/>
      <c r="H7" s="330"/>
      <c r="I7" s="330">
        <v>10015.540000000001</v>
      </c>
      <c r="J7" s="330">
        <v>323744</v>
      </c>
      <c r="K7" s="330"/>
      <c r="L7" s="320">
        <f t="shared" si="2"/>
        <v>2291298.7599999998</v>
      </c>
      <c r="M7" s="309"/>
      <c r="N7" s="117" t="s">
        <v>333</v>
      </c>
      <c r="O7" s="319"/>
      <c r="P7" s="319"/>
      <c r="Q7" s="319">
        <v>348662.09</v>
      </c>
      <c r="R7" s="319"/>
      <c r="S7" s="319"/>
      <c r="T7" s="319"/>
      <c r="U7" s="319"/>
      <c r="V7" s="319"/>
      <c r="W7" s="320">
        <f t="shared" si="0"/>
        <v>348662.09</v>
      </c>
      <c r="X7" s="321">
        <f t="shared" si="1"/>
        <v>2639960.8499999996</v>
      </c>
    </row>
    <row r="8" spans="1:24" ht="12.75" customHeight="1">
      <c r="A8" s="117" t="s">
        <v>334</v>
      </c>
      <c r="B8" s="330"/>
      <c r="C8" s="330"/>
      <c r="D8" s="330">
        <v>414806.83</v>
      </c>
      <c r="E8" s="330"/>
      <c r="F8" s="330">
        <v>315309.03999999998</v>
      </c>
      <c r="G8" s="330"/>
      <c r="H8" s="330"/>
      <c r="I8" s="330">
        <v>2405</v>
      </c>
      <c r="J8" s="330"/>
      <c r="K8" s="330"/>
      <c r="L8" s="320">
        <f t="shared" si="2"/>
        <v>732520.87</v>
      </c>
      <c r="M8" s="309"/>
      <c r="N8" s="117" t="s">
        <v>334</v>
      </c>
      <c r="O8" s="319"/>
      <c r="P8" s="319"/>
      <c r="Q8" s="319"/>
      <c r="R8" s="319"/>
      <c r="S8" s="319"/>
      <c r="T8" s="319"/>
      <c r="U8" s="319"/>
      <c r="V8" s="319"/>
      <c r="W8" s="320">
        <f t="shared" si="0"/>
        <v>0</v>
      </c>
      <c r="X8" s="321">
        <f t="shared" si="1"/>
        <v>732520.87</v>
      </c>
    </row>
    <row r="9" spans="1:24" ht="11.25" customHeight="1">
      <c r="A9" s="117" t="s">
        <v>335</v>
      </c>
      <c r="B9" s="330"/>
      <c r="C9" s="330"/>
      <c r="D9" s="330">
        <v>2621781.2000000002</v>
      </c>
      <c r="E9" s="330"/>
      <c r="F9" s="330"/>
      <c r="G9" s="330"/>
      <c r="H9" s="330"/>
      <c r="I9" s="330">
        <v>9473.7900000000009</v>
      </c>
      <c r="J9" s="330"/>
      <c r="K9" s="330"/>
      <c r="L9" s="320">
        <f t="shared" si="2"/>
        <v>2631254.9900000002</v>
      </c>
      <c r="M9" s="309"/>
      <c r="N9" s="117" t="s">
        <v>335</v>
      </c>
      <c r="O9" s="319"/>
      <c r="P9" s="319"/>
      <c r="Q9" s="319"/>
      <c r="R9" s="319"/>
      <c r="S9" s="319"/>
      <c r="T9" s="319"/>
      <c r="U9" s="319"/>
      <c r="V9" s="319"/>
      <c r="W9" s="320">
        <f t="shared" si="0"/>
        <v>0</v>
      </c>
      <c r="X9" s="321">
        <f t="shared" si="1"/>
        <v>2631254.9900000002</v>
      </c>
    </row>
    <row r="10" spans="1:24">
      <c r="A10" s="117" t="s">
        <v>336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20">
        <f t="shared" si="2"/>
        <v>0</v>
      </c>
      <c r="M10" s="309"/>
      <c r="N10" s="117" t="s">
        <v>336</v>
      </c>
      <c r="O10" s="319">
        <v>887462.39</v>
      </c>
      <c r="P10" s="319"/>
      <c r="Q10" s="319"/>
      <c r="R10" s="319"/>
      <c r="S10" s="319"/>
      <c r="T10" s="319"/>
      <c r="U10" s="319">
        <v>4211.66</v>
      </c>
      <c r="V10" s="319"/>
      <c r="W10" s="320">
        <f t="shared" si="0"/>
        <v>891674.05</v>
      </c>
      <c r="X10" s="321">
        <f t="shared" si="1"/>
        <v>891674.05</v>
      </c>
    </row>
    <row r="11" spans="1:24" ht="12.75" customHeight="1">
      <c r="A11" s="117" t="s">
        <v>337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20">
        <f t="shared" si="2"/>
        <v>0</v>
      </c>
      <c r="M11" s="309"/>
      <c r="N11" s="117" t="s">
        <v>337</v>
      </c>
      <c r="O11" s="319"/>
      <c r="P11" s="319">
        <v>497372.15999999997</v>
      </c>
      <c r="Q11" s="319"/>
      <c r="R11" s="319"/>
      <c r="S11" s="319"/>
      <c r="T11" s="319"/>
      <c r="U11" s="319">
        <v>3453</v>
      </c>
      <c r="V11" s="319"/>
      <c r="W11" s="320">
        <f t="shared" si="0"/>
        <v>500825.16</v>
      </c>
      <c r="X11" s="321">
        <f t="shared" si="1"/>
        <v>500825.16</v>
      </c>
    </row>
    <row r="12" spans="1:24" ht="22.5">
      <c r="A12" s="117" t="s">
        <v>338</v>
      </c>
      <c r="B12" s="330"/>
      <c r="C12" s="330">
        <v>454276.52</v>
      </c>
      <c r="D12" s="330"/>
      <c r="E12" s="330"/>
      <c r="F12" s="330"/>
      <c r="G12" s="330"/>
      <c r="H12" s="330"/>
      <c r="I12" s="330"/>
      <c r="J12" s="330"/>
      <c r="K12" s="330"/>
      <c r="L12" s="320">
        <f t="shared" si="2"/>
        <v>454276.52</v>
      </c>
      <c r="M12" s="309"/>
      <c r="N12" s="117" t="s">
        <v>338</v>
      </c>
      <c r="O12" s="319"/>
      <c r="P12" s="319"/>
      <c r="Q12" s="319"/>
      <c r="R12" s="319"/>
      <c r="S12" s="319"/>
      <c r="T12" s="319">
        <v>1545538</v>
      </c>
      <c r="U12" s="319">
        <v>2090</v>
      </c>
      <c r="V12" s="319"/>
      <c r="W12" s="320">
        <f t="shared" si="0"/>
        <v>1547628</v>
      </c>
      <c r="X12" s="321">
        <f t="shared" si="1"/>
        <v>2001904.52</v>
      </c>
    </row>
    <row r="13" spans="1:24">
      <c r="A13" s="90" t="s">
        <v>339</v>
      </c>
      <c r="B13" s="330">
        <v>239430.22</v>
      </c>
      <c r="C13" s="330">
        <v>312192.90000000002</v>
      </c>
      <c r="D13" s="330">
        <v>186395.6</v>
      </c>
      <c r="E13" s="330"/>
      <c r="F13" s="330">
        <v>404372.83</v>
      </c>
      <c r="G13" s="330"/>
      <c r="H13" s="330"/>
      <c r="I13" s="330"/>
      <c r="J13" s="330"/>
      <c r="K13" s="330">
        <v>2831</v>
      </c>
      <c r="L13" s="320">
        <f t="shared" si="2"/>
        <v>1145222.55</v>
      </c>
      <c r="M13" s="309"/>
      <c r="N13" s="90" t="s">
        <v>339</v>
      </c>
      <c r="O13" s="319">
        <v>24600</v>
      </c>
      <c r="P13" s="319">
        <v>93787.79</v>
      </c>
      <c r="Q13" s="319">
        <v>971382.74</v>
      </c>
      <c r="R13" s="319">
        <v>13900</v>
      </c>
      <c r="S13" s="319"/>
      <c r="T13" s="319"/>
      <c r="U13" s="319"/>
      <c r="V13" s="319"/>
      <c r="W13" s="320">
        <f>SUM(O13:V13)</f>
        <v>1103670.53</v>
      </c>
      <c r="X13" s="321">
        <f t="shared" si="1"/>
        <v>2248893.08</v>
      </c>
    </row>
    <row r="14" spans="1:24" ht="11.25" customHeight="1">
      <c r="A14" s="310" t="s">
        <v>340</v>
      </c>
      <c r="B14" s="331">
        <f t="shared" ref="B14:L14" si="3">SUM(B5:B13)</f>
        <v>1479899.07</v>
      </c>
      <c r="C14" s="331">
        <f t="shared" si="3"/>
        <v>1561867.63</v>
      </c>
      <c r="D14" s="331">
        <f t="shared" si="3"/>
        <v>4634990.3499999996</v>
      </c>
      <c r="E14" s="331">
        <f t="shared" si="3"/>
        <v>0</v>
      </c>
      <c r="F14" s="331">
        <f t="shared" si="3"/>
        <v>5669971.8399999999</v>
      </c>
      <c r="G14" s="331">
        <f>SUM(G5:G13)</f>
        <v>270297.74</v>
      </c>
      <c r="H14" s="331"/>
      <c r="I14" s="331">
        <f>SUM(I5:I13)</f>
        <v>47238.04</v>
      </c>
      <c r="J14" s="331">
        <f>SUM(J5:J13)</f>
        <v>323744</v>
      </c>
      <c r="K14" s="331">
        <f>SUM(K5:K13)</f>
        <v>2831</v>
      </c>
      <c r="L14" s="321">
        <f t="shared" si="3"/>
        <v>14020907.059999999</v>
      </c>
      <c r="M14" s="309"/>
      <c r="N14" s="310" t="s">
        <v>340</v>
      </c>
      <c r="O14" s="321">
        <f t="shared" ref="O14:U14" si="4">SUM(O5:O13)</f>
        <v>912062.39</v>
      </c>
      <c r="P14" s="321">
        <f t="shared" si="4"/>
        <v>591159.94999999995</v>
      </c>
      <c r="Q14" s="321">
        <f t="shared" si="4"/>
        <v>1482492.55</v>
      </c>
      <c r="R14" s="321">
        <f t="shared" si="4"/>
        <v>13900</v>
      </c>
      <c r="S14" s="321">
        <f t="shared" si="4"/>
        <v>0</v>
      </c>
      <c r="T14" s="321">
        <f t="shared" si="4"/>
        <v>1545538</v>
      </c>
      <c r="U14" s="321">
        <f t="shared" si="4"/>
        <v>9754.66</v>
      </c>
      <c r="V14" s="321">
        <f>V13</f>
        <v>0</v>
      </c>
      <c r="W14" s="321">
        <f>SUM(W5:W13)</f>
        <v>4554907.55</v>
      </c>
      <c r="X14" s="321">
        <f t="shared" si="1"/>
        <v>18575814.609999999</v>
      </c>
    </row>
    <row r="15" spans="1:24" ht="22.5">
      <c r="A15" s="311" t="s">
        <v>341</v>
      </c>
      <c r="B15" s="332"/>
      <c r="C15" s="332"/>
      <c r="D15" s="332"/>
      <c r="E15" s="332">
        <v>30559.360000000001</v>
      </c>
      <c r="F15" s="332"/>
      <c r="G15" s="332"/>
      <c r="H15" s="332"/>
      <c r="I15" s="332"/>
      <c r="J15" s="332"/>
      <c r="K15" s="332"/>
      <c r="L15" s="320">
        <f t="shared" ref="L15:L25" si="5">SUM(B15:I15)</f>
        <v>30559.360000000001</v>
      </c>
      <c r="M15" s="309"/>
      <c r="N15" s="311" t="s">
        <v>341</v>
      </c>
      <c r="O15" s="319"/>
      <c r="P15" s="319"/>
      <c r="Q15" s="319"/>
      <c r="R15" s="319"/>
      <c r="S15" s="319"/>
      <c r="T15" s="319"/>
      <c r="U15" s="319"/>
      <c r="V15" s="319"/>
      <c r="W15" s="320">
        <f t="shared" ref="W15:W24" si="6">SUM(O15:U15)</f>
        <v>0</v>
      </c>
      <c r="X15" s="321">
        <f t="shared" si="1"/>
        <v>30559.360000000001</v>
      </c>
    </row>
    <row r="16" spans="1:24" ht="22.5">
      <c r="A16" s="311" t="s">
        <v>342</v>
      </c>
      <c r="B16" s="332"/>
      <c r="C16" s="332"/>
      <c r="D16" s="332"/>
      <c r="E16" s="332">
        <v>172374.9</v>
      </c>
      <c r="F16" s="332"/>
      <c r="G16" s="332"/>
      <c r="H16" s="332"/>
      <c r="I16" s="332"/>
      <c r="J16" s="332"/>
      <c r="K16" s="332"/>
      <c r="L16" s="320">
        <f t="shared" si="5"/>
        <v>172374.9</v>
      </c>
      <c r="M16" s="309"/>
      <c r="N16" s="311" t="s">
        <v>343</v>
      </c>
      <c r="O16" s="319"/>
      <c r="P16" s="319"/>
      <c r="Q16" s="319"/>
      <c r="R16" s="319"/>
      <c r="S16" s="319"/>
      <c r="T16" s="319"/>
      <c r="U16" s="319"/>
      <c r="V16" s="319"/>
      <c r="W16" s="320">
        <f t="shared" si="6"/>
        <v>0</v>
      </c>
      <c r="X16" s="321">
        <f t="shared" si="1"/>
        <v>172374.9</v>
      </c>
    </row>
    <row r="17" spans="1:24" ht="22.5">
      <c r="A17" s="311" t="s">
        <v>344</v>
      </c>
      <c r="B17" s="332"/>
      <c r="C17" s="332"/>
      <c r="D17" s="332">
        <v>46481.4</v>
      </c>
      <c r="E17" s="332"/>
      <c r="F17" s="332"/>
      <c r="G17" s="332"/>
      <c r="H17" s="332"/>
      <c r="I17" s="332"/>
      <c r="J17" s="332"/>
      <c r="K17" s="332"/>
      <c r="L17" s="320">
        <f t="shared" si="5"/>
        <v>46481.4</v>
      </c>
      <c r="M17" s="309"/>
      <c r="N17" s="311" t="s">
        <v>345</v>
      </c>
      <c r="O17" s="319"/>
      <c r="P17" s="319"/>
      <c r="Q17" s="319"/>
      <c r="R17" s="319"/>
      <c r="S17" s="319"/>
      <c r="T17" s="319"/>
      <c r="U17" s="319"/>
      <c r="V17" s="319"/>
      <c r="W17" s="320">
        <f t="shared" si="6"/>
        <v>0</v>
      </c>
      <c r="X17" s="321">
        <f t="shared" si="1"/>
        <v>46481.4</v>
      </c>
    </row>
    <row r="18" spans="1:24" ht="22.5">
      <c r="A18" s="311" t="s">
        <v>346</v>
      </c>
      <c r="B18" s="332"/>
      <c r="C18" s="332"/>
      <c r="D18" s="332">
        <v>309501.53999999998</v>
      </c>
      <c r="E18" s="332"/>
      <c r="F18" s="332"/>
      <c r="G18" s="332"/>
      <c r="H18" s="332"/>
      <c r="I18" s="332"/>
      <c r="J18" s="332"/>
      <c r="K18" s="332"/>
      <c r="L18" s="320">
        <f t="shared" si="5"/>
        <v>309501.53999999998</v>
      </c>
      <c r="M18" s="309"/>
      <c r="N18" s="311" t="s">
        <v>346</v>
      </c>
      <c r="O18" s="319"/>
      <c r="P18" s="319"/>
      <c r="Q18" s="319"/>
      <c r="R18" s="319"/>
      <c r="S18" s="319"/>
      <c r="T18" s="319"/>
      <c r="U18" s="319"/>
      <c r="V18" s="319"/>
      <c r="W18" s="320"/>
      <c r="X18" s="321">
        <f t="shared" si="1"/>
        <v>309501.53999999998</v>
      </c>
    </row>
    <row r="19" spans="1:24">
      <c r="A19" s="311" t="s">
        <v>347</v>
      </c>
      <c r="B19" s="332"/>
      <c r="C19" s="332"/>
      <c r="D19" s="332"/>
      <c r="E19" s="332"/>
      <c r="F19" s="332">
        <v>182449.78</v>
      </c>
      <c r="G19" s="332"/>
      <c r="H19" s="332"/>
      <c r="I19" s="332"/>
      <c r="J19" s="332"/>
      <c r="K19" s="332"/>
      <c r="L19" s="320">
        <f t="shared" si="5"/>
        <v>182449.78</v>
      </c>
      <c r="M19" s="309"/>
      <c r="N19" s="311" t="s">
        <v>347</v>
      </c>
      <c r="O19" s="319"/>
      <c r="P19" s="319"/>
      <c r="Q19" s="319"/>
      <c r="R19" s="319"/>
      <c r="S19" s="319"/>
      <c r="T19" s="319"/>
      <c r="U19" s="319"/>
      <c r="V19" s="319"/>
      <c r="W19" s="320">
        <f t="shared" si="6"/>
        <v>0</v>
      </c>
      <c r="X19" s="321">
        <f t="shared" si="1"/>
        <v>182449.78</v>
      </c>
    </row>
    <row r="20" spans="1:24">
      <c r="A20" s="311" t="s">
        <v>160</v>
      </c>
      <c r="B20" s="332"/>
      <c r="C20" s="332"/>
      <c r="D20" s="332"/>
      <c r="E20" s="332"/>
      <c r="F20" s="332">
        <v>202127.28</v>
      </c>
      <c r="G20" s="332"/>
      <c r="H20" s="332"/>
      <c r="I20" s="332"/>
      <c r="J20" s="332"/>
      <c r="K20" s="332"/>
      <c r="L20" s="320">
        <f t="shared" si="5"/>
        <v>202127.28</v>
      </c>
      <c r="M20" s="309"/>
      <c r="N20" s="311" t="s">
        <v>160</v>
      </c>
      <c r="O20" s="319"/>
      <c r="P20" s="319"/>
      <c r="Q20" s="319"/>
      <c r="R20" s="319"/>
      <c r="S20" s="319"/>
      <c r="T20" s="319"/>
      <c r="U20" s="319"/>
      <c r="V20" s="319"/>
      <c r="W20" s="320">
        <f t="shared" si="6"/>
        <v>0</v>
      </c>
      <c r="X20" s="321">
        <f t="shared" si="1"/>
        <v>202127.28</v>
      </c>
    </row>
    <row r="21" spans="1:24" ht="22.5">
      <c r="A21" s="311" t="s">
        <v>258</v>
      </c>
      <c r="B21" s="332"/>
      <c r="C21" s="332"/>
      <c r="D21" s="332">
        <v>216738.27</v>
      </c>
      <c r="E21" s="332"/>
      <c r="F21" s="332"/>
      <c r="G21" s="332"/>
      <c r="H21" s="332"/>
      <c r="I21" s="332"/>
      <c r="J21" s="332"/>
      <c r="K21" s="332"/>
      <c r="L21" s="320">
        <f t="shared" si="5"/>
        <v>216738.27</v>
      </c>
      <c r="M21" s="309"/>
      <c r="N21" s="311" t="s">
        <v>258</v>
      </c>
      <c r="O21" s="319"/>
      <c r="P21" s="319"/>
      <c r="Q21" s="319"/>
      <c r="R21" s="319"/>
      <c r="S21" s="319"/>
      <c r="T21" s="319"/>
      <c r="U21" s="319"/>
      <c r="V21" s="319"/>
      <c r="W21" s="320">
        <f t="shared" si="6"/>
        <v>0</v>
      </c>
      <c r="X21" s="321">
        <f t="shared" si="1"/>
        <v>216738.27</v>
      </c>
    </row>
    <row r="22" spans="1:24">
      <c r="A22" s="311" t="s">
        <v>368</v>
      </c>
      <c r="B22" s="332"/>
      <c r="C22" s="332"/>
      <c r="D22" s="332">
        <v>234360.09</v>
      </c>
      <c r="E22" s="332"/>
      <c r="F22" s="332"/>
      <c r="G22" s="332"/>
      <c r="H22" s="332"/>
      <c r="I22" s="332"/>
      <c r="J22" s="332"/>
      <c r="K22" s="332"/>
      <c r="L22" s="320">
        <f t="shared" si="5"/>
        <v>234360.09</v>
      </c>
      <c r="M22" s="309"/>
      <c r="N22" s="311" t="s">
        <v>368</v>
      </c>
      <c r="O22" s="319"/>
      <c r="P22" s="319"/>
      <c r="Q22" s="319"/>
      <c r="R22" s="319"/>
      <c r="S22" s="319"/>
      <c r="T22" s="319"/>
      <c r="U22" s="319"/>
      <c r="V22" s="319"/>
      <c r="W22" s="320"/>
      <c r="X22" s="321">
        <f t="shared" si="1"/>
        <v>234360.09</v>
      </c>
    </row>
    <row r="23" spans="1:24" ht="22.5">
      <c r="A23" s="311" t="s">
        <v>259</v>
      </c>
      <c r="B23" s="332"/>
      <c r="C23" s="332"/>
      <c r="D23" s="332">
        <v>114029.37</v>
      </c>
      <c r="E23" s="332"/>
      <c r="F23" s="332"/>
      <c r="G23" s="332"/>
      <c r="H23" s="332"/>
      <c r="I23" s="332"/>
      <c r="J23" s="332"/>
      <c r="K23" s="332"/>
      <c r="L23" s="320">
        <f t="shared" si="5"/>
        <v>114029.37</v>
      </c>
      <c r="M23" s="309"/>
      <c r="N23" s="311" t="s">
        <v>259</v>
      </c>
      <c r="O23" s="319"/>
      <c r="P23" s="319"/>
      <c r="Q23" s="319"/>
      <c r="R23" s="319"/>
      <c r="S23" s="319"/>
      <c r="T23" s="319"/>
      <c r="U23" s="319"/>
      <c r="V23" s="319"/>
      <c r="W23" s="320"/>
      <c r="X23" s="321">
        <f t="shared" si="1"/>
        <v>114029.37</v>
      </c>
    </row>
    <row r="24" spans="1:24" ht="23.25" customHeight="1">
      <c r="A24" s="312" t="s">
        <v>348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3">
        <f t="shared" si="5"/>
        <v>0</v>
      </c>
      <c r="M24" s="313"/>
      <c r="N24" s="312" t="s">
        <v>348</v>
      </c>
      <c r="O24" s="322"/>
      <c r="P24" s="322"/>
      <c r="Q24" s="322"/>
      <c r="R24" s="322"/>
      <c r="S24" s="322">
        <v>1251883.8400000001</v>
      </c>
      <c r="T24" s="322"/>
      <c r="U24" s="322"/>
      <c r="V24" s="322"/>
      <c r="W24" s="323">
        <f t="shared" si="6"/>
        <v>1251883.8400000001</v>
      </c>
      <c r="X24" s="324">
        <f t="shared" si="1"/>
        <v>1251883.8400000001</v>
      </c>
    </row>
    <row r="25" spans="1:24" ht="23.25" customHeight="1">
      <c r="A25" s="314" t="s">
        <v>198</v>
      </c>
      <c r="B25" s="334"/>
      <c r="C25" s="334"/>
      <c r="D25" s="334"/>
      <c r="E25" s="334"/>
      <c r="F25" s="334"/>
      <c r="G25" s="334"/>
      <c r="H25" s="334">
        <v>152728.5</v>
      </c>
      <c r="I25" s="334"/>
      <c r="J25" s="334"/>
      <c r="K25" s="334"/>
      <c r="L25" s="320">
        <f t="shared" si="5"/>
        <v>152728.5</v>
      </c>
      <c r="M25" s="313"/>
      <c r="N25" s="314" t="s">
        <v>198</v>
      </c>
      <c r="O25" s="325"/>
      <c r="P25" s="325"/>
      <c r="Q25" s="325"/>
      <c r="R25" s="325"/>
      <c r="S25" s="325"/>
      <c r="T25" s="325"/>
      <c r="U25" s="325"/>
      <c r="V25" s="325"/>
      <c r="W25" s="326"/>
      <c r="X25" s="324">
        <f t="shared" si="1"/>
        <v>152728.5</v>
      </c>
    </row>
    <row r="26" spans="1:24" ht="22.5" thickBot="1">
      <c r="A26" s="315" t="s">
        <v>349</v>
      </c>
      <c r="B26" s="335">
        <f>SUM(B15:B25)</f>
        <v>0</v>
      </c>
      <c r="C26" s="335">
        <f t="shared" ref="C26:K26" si="7">SUM(C15:C25)</f>
        <v>0</v>
      </c>
      <c r="D26" s="335">
        <f t="shared" si="7"/>
        <v>921110.66999999993</v>
      </c>
      <c r="E26" s="335">
        <f t="shared" si="7"/>
        <v>202934.26</v>
      </c>
      <c r="F26" s="335">
        <f t="shared" si="7"/>
        <v>384577.06</v>
      </c>
      <c r="G26" s="335">
        <f t="shared" si="7"/>
        <v>0</v>
      </c>
      <c r="H26" s="335">
        <f t="shared" si="7"/>
        <v>152728.5</v>
      </c>
      <c r="I26" s="335">
        <f t="shared" si="7"/>
        <v>0</v>
      </c>
      <c r="J26" s="335">
        <f t="shared" si="7"/>
        <v>0</v>
      </c>
      <c r="K26" s="335">
        <f t="shared" si="7"/>
        <v>0</v>
      </c>
      <c r="L26" s="327">
        <f>SUM(L15:L25)</f>
        <v>1661350.4900000002</v>
      </c>
      <c r="M26" s="309"/>
      <c r="N26" s="310" t="s">
        <v>349</v>
      </c>
      <c r="O26" s="327">
        <f>SUM(O15:O24)</f>
        <v>0</v>
      </c>
      <c r="P26" s="327">
        <f t="shared" ref="P26:W26" si="8">SUM(P15:P24)</f>
        <v>0</v>
      </c>
      <c r="Q26" s="327">
        <f t="shared" si="8"/>
        <v>0</v>
      </c>
      <c r="R26" s="327">
        <f>SUM(R15:R24)</f>
        <v>0</v>
      </c>
      <c r="S26" s="327">
        <f t="shared" si="8"/>
        <v>1251883.8400000001</v>
      </c>
      <c r="T26" s="327">
        <f t="shared" si="8"/>
        <v>0</v>
      </c>
      <c r="U26" s="327">
        <f t="shared" si="8"/>
        <v>0</v>
      </c>
      <c r="V26" s="327"/>
      <c r="W26" s="327">
        <f t="shared" si="8"/>
        <v>1251883.8400000001</v>
      </c>
      <c r="X26" s="327">
        <f>SUM(X15:X25)</f>
        <v>2913234.33</v>
      </c>
    </row>
    <row r="27" spans="1:24" ht="13.5" thickBot="1">
      <c r="A27" s="316" t="s">
        <v>350</v>
      </c>
      <c r="B27" s="336">
        <f t="shared" ref="B27:G27" si="9">B14+B26</f>
        <v>1479899.07</v>
      </c>
      <c r="C27" s="336">
        <f t="shared" si="9"/>
        <v>1561867.63</v>
      </c>
      <c r="D27" s="336">
        <f t="shared" si="9"/>
        <v>5556101.0199999996</v>
      </c>
      <c r="E27" s="336">
        <f t="shared" si="9"/>
        <v>202934.26</v>
      </c>
      <c r="F27" s="336">
        <f t="shared" si="9"/>
        <v>6054548.8999999994</v>
      </c>
      <c r="G27" s="336">
        <f t="shared" si="9"/>
        <v>270297.74</v>
      </c>
      <c r="H27" s="336">
        <f>H26</f>
        <v>152728.5</v>
      </c>
      <c r="I27" s="336">
        <f>I14+I26</f>
        <v>47238.04</v>
      </c>
      <c r="J27" s="336">
        <f>J14+J26</f>
        <v>323744</v>
      </c>
      <c r="K27" s="336">
        <f>K14+K26</f>
        <v>2831</v>
      </c>
      <c r="L27" s="328">
        <f>L14+L26</f>
        <v>15682257.549999999</v>
      </c>
      <c r="M27" s="317"/>
      <c r="N27" s="310" t="s">
        <v>350</v>
      </c>
      <c r="O27" s="328">
        <f t="shared" ref="O27:X27" si="10">O14+O26</f>
        <v>912062.39</v>
      </c>
      <c r="P27" s="328">
        <f t="shared" si="10"/>
        <v>591159.94999999995</v>
      </c>
      <c r="Q27" s="328">
        <f t="shared" si="10"/>
        <v>1482492.55</v>
      </c>
      <c r="R27" s="328">
        <f t="shared" si="10"/>
        <v>13900</v>
      </c>
      <c r="S27" s="328">
        <f t="shared" si="10"/>
        <v>1251883.8400000001</v>
      </c>
      <c r="T27" s="328">
        <f t="shared" si="10"/>
        <v>1545538</v>
      </c>
      <c r="U27" s="328">
        <f t="shared" si="10"/>
        <v>9754.66</v>
      </c>
      <c r="V27" s="328">
        <f t="shared" si="10"/>
        <v>0</v>
      </c>
      <c r="W27" s="328">
        <f t="shared" si="10"/>
        <v>5806791.3899999997</v>
      </c>
      <c r="X27" s="329">
        <f t="shared" si="10"/>
        <v>21489048.939999998</v>
      </c>
    </row>
    <row r="28" spans="1:24">
      <c r="A28" s="301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303"/>
      <c r="M28" s="302"/>
      <c r="N28" s="303"/>
      <c r="O28" s="301"/>
      <c r="P28" s="301"/>
      <c r="Q28" s="301"/>
      <c r="R28" s="301"/>
      <c r="S28" s="301"/>
      <c r="T28" s="301"/>
      <c r="U28" s="301"/>
      <c r="V28" s="301"/>
      <c r="W28" s="303"/>
      <c r="X28" s="303"/>
    </row>
  </sheetData>
  <mergeCells count="4">
    <mergeCell ref="I1:L1"/>
    <mergeCell ref="A2:L2"/>
    <mergeCell ref="A3:B3"/>
    <mergeCell ref="N3:O3"/>
  </mergeCells>
  <pageMargins left="0.7" right="0.7" top="0.75" bottom="0.75" header="0.3" footer="0.3"/>
  <pageSetup paperSize="9" orientation="landscape" r:id="rId1"/>
  <headerFooter>
    <oddFooter>&amp;CTabela Nr 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P28" sqref="P28"/>
    </sheetView>
  </sheetViews>
  <sheetFormatPr defaultRowHeight="12.75"/>
  <sheetData>
    <row r="1" spans="1:12">
      <c r="L1" s="618" t="s">
        <v>481</v>
      </c>
    </row>
    <row r="2" spans="1:12">
      <c r="B2" s="619" t="s">
        <v>482</v>
      </c>
      <c r="C2" s="619"/>
      <c r="D2" s="619"/>
      <c r="E2" s="619"/>
      <c r="F2" s="619"/>
      <c r="G2" s="619"/>
      <c r="H2" s="619"/>
      <c r="I2" s="619"/>
      <c r="J2" s="619"/>
      <c r="K2" s="619"/>
      <c r="L2" s="619"/>
    </row>
    <row r="3" spans="1:12"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</row>
    <row r="4" spans="1:12">
      <c r="B4" s="618"/>
      <c r="C4" s="618"/>
      <c r="D4" s="618"/>
      <c r="E4" s="618"/>
      <c r="F4" s="618"/>
      <c r="G4" s="618"/>
      <c r="H4" s="618"/>
      <c r="I4" s="618"/>
      <c r="J4" s="618"/>
      <c r="K4" s="618"/>
      <c r="L4" s="618"/>
    </row>
    <row r="5" spans="1:12">
      <c r="A5" s="620" t="s">
        <v>7</v>
      </c>
      <c r="B5" s="620" t="s">
        <v>483</v>
      </c>
      <c r="C5" s="620" t="s">
        <v>484</v>
      </c>
      <c r="D5" s="620" t="s">
        <v>485</v>
      </c>
      <c r="E5" s="620" t="s">
        <v>486</v>
      </c>
      <c r="F5" s="620" t="s">
        <v>487</v>
      </c>
      <c r="G5" s="620" t="s">
        <v>488</v>
      </c>
      <c r="H5" s="620" t="s">
        <v>489</v>
      </c>
      <c r="I5" s="620" t="s">
        <v>490</v>
      </c>
      <c r="J5" s="620" t="s">
        <v>491</v>
      </c>
      <c r="K5" s="620" t="s">
        <v>492</v>
      </c>
      <c r="L5" s="621" t="s">
        <v>493</v>
      </c>
    </row>
    <row r="6" spans="1:12" ht="15">
      <c r="A6" s="622"/>
      <c r="B6" s="623" t="s">
        <v>494</v>
      </c>
      <c r="C6" s="623" t="s">
        <v>495</v>
      </c>
      <c r="D6" s="623" t="s">
        <v>496</v>
      </c>
      <c r="E6" s="623" t="s">
        <v>497</v>
      </c>
      <c r="F6" s="623" t="s">
        <v>498</v>
      </c>
      <c r="G6" s="623" t="s">
        <v>499</v>
      </c>
      <c r="H6" s="623" t="s">
        <v>500</v>
      </c>
      <c r="I6" s="623" t="s">
        <v>500</v>
      </c>
      <c r="J6" s="623" t="s">
        <v>501</v>
      </c>
      <c r="K6" s="623" t="s">
        <v>502</v>
      </c>
      <c r="L6" s="624" t="s">
        <v>503</v>
      </c>
    </row>
    <row r="7" spans="1:12">
      <c r="A7" s="625">
        <v>60016</v>
      </c>
      <c r="B7" s="626"/>
      <c r="C7" s="627"/>
      <c r="D7" s="627"/>
      <c r="E7" s="627"/>
      <c r="F7" s="627">
        <v>37328.92</v>
      </c>
      <c r="G7" s="627">
        <v>141929.73000000001</v>
      </c>
      <c r="H7" s="627"/>
      <c r="I7" s="628"/>
      <c r="J7" s="627"/>
      <c r="K7" s="627"/>
      <c r="L7" s="629">
        <f>SUM(B7:K7)</f>
        <v>179258.65000000002</v>
      </c>
    </row>
    <row r="8" spans="1:12">
      <c r="A8" s="625">
        <v>75075</v>
      </c>
      <c r="B8" s="626"/>
      <c r="C8" s="627"/>
      <c r="D8" s="627"/>
      <c r="E8" s="627"/>
      <c r="F8" s="627"/>
      <c r="G8" s="627"/>
      <c r="H8" s="627"/>
      <c r="I8" s="627">
        <v>35401.300000000003</v>
      </c>
      <c r="J8" s="627">
        <v>65.069999999999993</v>
      </c>
      <c r="K8" s="627">
        <v>-4222.42</v>
      </c>
      <c r="L8" s="629">
        <f t="shared" ref="L8:L12" si="0">SUM(B8:K8)</f>
        <v>31243.950000000004</v>
      </c>
    </row>
    <row r="9" spans="1:12">
      <c r="A9" s="625">
        <v>80111</v>
      </c>
      <c r="B9" s="626">
        <v>266596.90999999997</v>
      </c>
      <c r="C9" s="627">
        <v>4904.03</v>
      </c>
      <c r="D9" s="627"/>
      <c r="E9" s="627"/>
      <c r="F9" s="627"/>
      <c r="G9" s="627"/>
      <c r="H9" s="627"/>
      <c r="I9" s="628"/>
      <c r="J9" s="627"/>
      <c r="K9" s="627"/>
      <c r="L9" s="629">
        <f t="shared" si="0"/>
        <v>271500.94</v>
      </c>
    </row>
    <row r="10" spans="1:12">
      <c r="A10" s="625">
        <v>80120</v>
      </c>
      <c r="B10" s="626">
        <v>61000</v>
      </c>
      <c r="C10" s="627"/>
      <c r="D10" s="627"/>
      <c r="E10" s="627"/>
      <c r="F10" s="627"/>
      <c r="G10" s="627"/>
      <c r="H10" s="627">
        <v>98333.83</v>
      </c>
      <c r="I10" s="628"/>
      <c r="J10" s="627"/>
      <c r="K10" s="627"/>
      <c r="L10" s="629">
        <f t="shared" si="0"/>
        <v>159333.83000000002</v>
      </c>
    </row>
    <row r="11" spans="1:12">
      <c r="A11" s="625">
        <v>80130</v>
      </c>
      <c r="B11" s="626">
        <v>193000</v>
      </c>
      <c r="C11" s="627"/>
      <c r="D11" s="627">
        <v>38556</v>
      </c>
      <c r="E11" s="627"/>
      <c r="F11" s="627"/>
      <c r="G11" s="627"/>
      <c r="H11" s="627">
        <v>101889.71</v>
      </c>
      <c r="I11" s="628"/>
      <c r="J11" s="627"/>
      <c r="K11" s="627"/>
      <c r="L11" s="629">
        <f t="shared" si="0"/>
        <v>333445.71000000002</v>
      </c>
    </row>
    <row r="12" spans="1:12">
      <c r="A12" s="625">
        <v>85395</v>
      </c>
      <c r="B12" s="626">
        <v>1512272</v>
      </c>
      <c r="C12" s="627"/>
      <c r="D12" s="627"/>
      <c r="E12" s="627">
        <v>87438</v>
      </c>
      <c r="F12" s="627">
        <v>-208446.9</v>
      </c>
      <c r="G12" s="628"/>
      <c r="H12" s="628"/>
      <c r="I12" s="628"/>
      <c r="J12" s="627"/>
      <c r="K12" s="627"/>
      <c r="L12" s="629">
        <f t="shared" si="0"/>
        <v>1391263.1</v>
      </c>
    </row>
    <row r="32" spans="6:6">
      <c r="F32" s="618" t="s">
        <v>481</v>
      </c>
    </row>
  </sheetData>
  <mergeCells count="1">
    <mergeCell ref="B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58"/>
  <sheetViews>
    <sheetView view="pageLayout" workbookViewId="0">
      <selection activeCell="J88" sqref="J88"/>
    </sheetView>
  </sheetViews>
  <sheetFormatPr defaultRowHeight="12.75"/>
  <cols>
    <col min="1" max="1" width="15.140625" customWidth="1"/>
    <col min="2" max="2" width="19.42578125" customWidth="1"/>
    <col min="3" max="3" width="18.140625" customWidth="1"/>
    <col min="4" max="5" width="2.140625" customWidth="1"/>
    <col min="6" max="9" width="5.7109375" customWidth="1"/>
    <col min="10" max="10" width="60.42578125" customWidth="1"/>
    <col min="11" max="11" width="2.28515625" customWidth="1"/>
    <col min="16" max="16" width="5.140625" customWidth="1"/>
    <col min="17" max="17" width="9.140625" hidden="1" customWidth="1"/>
  </cols>
  <sheetData>
    <row r="2" spans="1:3">
      <c r="B2" t="s">
        <v>134</v>
      </c>
      <c r="C2" t="s">
        <v>125</v>
      </c>
    </row>
    <row r="3" spans="1:3">
      <c r="A3" s="36" t="s">
        <v>12</v>
      </c>
      <c r="B3" s="34">
        <v>61535</v>
      </c>
      <c r="C3" s="38">
        <v>61369</v>
      </c>
    </row>
    <row r="4" spans="1:3">
      <c r="A4" s="36" t="s">
        <v>13</v>
      </c>
      <c r="B4" s="29">
        <v>282765.28000000003</v>
      </c>
      <c r="C4" s="39">
        <v>263191.59000000003</v>
      </c>
    </row>
    <row r="5" spans="1:3">
      <c r="A5" s="36">
        <v>600</v>
      </c>
      <c r="B5" s="29">
        <v>2961501.51</v>
      </c>
      <c r="C5" s="39">
        <v>2876540.27</v>
      </c>
    </row>
    <row r="6" spans="1:3">
      <c r="A6" s="36" t="s">
        <v>137</v>
      </c>
      <c r="B6" s="29">
        <v>286680.03999999998</v>
      </c>
      <c r="C6" s="39">
        <v>311684.32</v>
      </c>
    </row>
    <row r="7" spans="1:3">
      <c r="A7" s="36" t="s">
        <v>138</v>
      </c>
      <c r="B7" s="29">
        <v>1040801.61</v>
      </c>
      <c r="C7" s="39">
        <v>1087235.22</v>
      </c>
    </row>
    <row r="8" spans="1:3">
      <c r="A8" s="36" t="s">
        <v>139</v>
      </c>
      <c r="B8" s="29">
        <v>190889.76</v>
      </c>
      <c r="C8" s="39">
        <v>198658.7</v>
      </c>
    </row>
    <row r="9" spans="1:3">
      <c r="A9" s="2">
        <v>754</v>
      </c>
      <c r="B9" s="29">
        <v>3141638.7</v>
      </c>
      <c r="C9" s="39">
        <v>3143187.76</v>
      </c>
    </row>
    <row r="10" spans="1:3">
      <c r="A10" s="2">
        <v>756</v>
      </c>
      <c r="B10" s="29">
        <v>6376309</v>
      </c>
      <c r="C10" s="39">
        <v>6495027.4199999999</v>
      </c>
    </row>
    <row r="11" spans="1:3">
      <c r="A11" s="2">
        <v>758</v>
      </c>
      <c r="B11" s="29">
        <v>27846036.18</v>
      </c>
      <c r="C11" s="39">
        <v>27852484.870000001</v>
      </c>
    </row>
    <row r="12" spans="1:3">
      <c r="A12" s="2">
        <v>801</v>
      </c>
      <c r="B12" s="29">
        <v>841648.72</v>
      </c>
      <c r="C12" s="39">
        <v>862889.09</v>
      </c>
    </row>
    <row r="13" spans="1:3">
      <c r="A13" s="2">
        <v>851</v>
      </c>
      <c r="B13" s="29">
        <v>2483622.6800000002</v>
      </c>
      <c r="C13" s="39">
        <v>2483409.09</v>
      </c>
    </row>
    <row r="14" spans="1:3">
      <c r="A14" s="2">
        <v>852</v>
      </c>
      <c r="B14" s="29">
        <v>5413501.7199999997</v>
      </c>
      <c r="C14" s="39">
        <v>5433070.7699999996</v>
      </c>
    </row>
    <row r="15" spans="1:3">
      <c r="A15" s="181">
        <v>853</v>
      </c>
      <c r="B15" s="29">
        <v>2649353.5</v>
      </c>
      <c r="C15" s="39">
        <v>2643150.86</v>
      </c>
    </row>
    <row r="16" spans="1:3">
      <c r="A16" s="181">
        <v>854</v>
      </c>
      <c r="B16" s="29">
        <v>151979</v>
      </c>
      <c r="C16" s="39">
        <v>181352.46</v>
      </c>
    </row>
    <row r="17" spans="1:3">
      <c r="A17" s="2">
        <v>900</v>
      </c>
      <c r="B17" s="29">
        <v>71200</v>
      </c>
      <c r="C17" s="39">
        <v>70996.679999999993</v>
      </c>
    </row>
    <row r="18" spans="1:3">
      <c r="A18" s="106">
        <v>921</v>
      </c>
      <c r="B18" s="29">
        <v>4820</v>
      </c>
      <c r="C18" s="39">
        <v>4820</v>
      </c>
    </row>
    <row r="19" spans="1:3">
      <c r="A19" s="2"/>
      <c r="C19" s="29"/>
    </row>
    <row r="42" spans="1:10">
      <c r="A42" s="2"/>
      <c r="B42" s="2"/>
      <c r="C42" s="2"/>
    </row>
    <row r="43" spans="1:10">
      <c r="A43" s="181">
        <v>7</v>
      </c>
      <c r="B43" s="181"/>
      <c r="C43" s="181"/>
      <c r="D43" s="2"/>
      <c r="E43" s="2"/>
      <c r="F43" s="2"/>
    </row>
    <row r="44" spans="1:10" ht="26.25" customHeight="1">
      <c r="A44" s="181"/>
      <c r="B44" s="181"/>
      <c r="C44" s="181"/>
      <c r="D44" s="181"/>
      <c r="E44" s="181"/>
      <c r="F44" s="181"/>
      <c r="G44" s="2"/>
      <c r="H44" s="2"/>
      <c r="I44" s="2"/>
      <c r="J44" s="2"/>
    </row>
    <row r="45" spans="1:10" ht="12.75" hidden="1" customHeight="1">
      <c r="A45" s="181"/>
      <c r="B45" s="181"/>
      <c r="C45" s="181"/>
      <c r="D45" s="181"/>
      <c r="E45" s="181"/>
      <c r="F45" s="181"/>
      <c r="G45" s="181"/>
      <c r="H45" s="181"/>
      <c r="I45" s="181"/>
      <c r="J45" s="181"/>
    </row>
    <row r="46" spans="1:10" ht="9.75" hidden="1" customHeight="1">
      <c r="A46" s="181"/>
      <c r="B46" s="181"/>
      <c r="C46" s="181"/>
      <c r="D46" s="181"/>
      <c r="E46" s="181"/>
      <c r="F46" s="181"/>
      <c r="G46" s="181"/>
      <c r="H46" s="181"/>
      <c r="I46" s="181"/>
      <c r="J46" s="181"/>
    </row>
    <row r="47" spans="1:10" ht="12.75" hidden="1" customHeight="1">
      <c r="D47" s="181"/>
      <c r="E47" s="181"/>
      <c r="F47" s="181"/>
      <c r="G47" s="181"/>
      <c r="H47" s="181"/>
      <c r="I47" s="181"/>
      <c r="J47" s="181"/>
    </row>
    <row r="48" spans="1:10" ht="12.75" hidden="1" customHeight="1">
      <c r="G48" s="181"/>
      <c r="H48" s="181"/>
      <c r="I48" s="181"/>
      <c r="J48" s="181"/>
    </row>
    <row r="56" spans="1:10">
      <c r="A56" s="181"/>
      <c r="B56" s="181"/>
      <c r="C56" s="181"/>
    </row>
    <row r="57" spans="1:10">
      <c r="D57" s="181"/>
      <c r="E57" s="181"/>
      <c r="F57" s="181"/>
    </row>
    <row r="58" spans="1:10" ht="35.25" customHeight="1">
      <c r="G58" s="181"/>
      <c r="H58" s="181"/>
      <c r="I58" s="181"/>
      <c r="J58" s="181"/>
    </row>
  </sheetData>
  <phoneticPr fontId="0" type="noConversion"/>
  <pageMargins left="0.82677165354330717" right="0.62992125984251968" top="0.98425196850393704" bottom="0.98425196850393704" header="0.51181102362204722" footer="0.51181102362204722"/>
  <pageSetup paperSize="9" scale="63" orientation="portrait" copies="5" r:id="rId1"/>
  <headerFooter alignWithMargins="0">
    <oddFooter>&amp;RWykres dochodów Powiatu Białogardzkiego w 2011r.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6"/>
  <sheetViews>
    <sheetView view="pageLayout" workbookViewId="0">
      <selection activeCell="F61" sqref="F61"/>
    </sheetView>
  </sheetViews>
  <sheetFormatPr defaultRowHeight="12.75"/>
  <cols>
    <col min="1" max="1" width="4.42578125" style="44" customWidth="1"/>
    <col min="2" max="2" width="5.42578125" style="44" customWidth="1"/>
    <col min="3" max="3" width="4.42578125" style="44" customWidth="1"/>
    <col min="4" max="4" width="39.140625" style="44" customWidth="1"/>
    <col min="5" max="5" width="10.28515625" style="44" customWidth="1"/>
    <col min="6" max="6" width="10.42578125" style="44" customWidth="1"/>
    <col min="7" max="7" width="10.42578125" style="179" customWidth="1"/>
    <col min="8" max="8" width="6.85546875" style="44" customWidth="1"/>
    <col min="9" max="16384" width="9.140625" style="44"/>
  </cols>
  <sheetData>
    <row r="1" spans="1:20">
      <c r="D1" s="495" t="s">
        <v>252</v>
      </c>
      <c r="E1" s="495"/>
      <c r="F1" s="495"/>
      <c r="G1" s="495"/>
      <c r="H1" s="495"/>
    </row>
    <row r="2" spans="1:20">
      <c r="A2" s="525" t="s">
        <v>2</v>
      </c>
      <c r="B2" s="525"/>
      <c r="C2" s="525"/>
      <c r="D2" s="525"/>
      <c r="E2" s="525"/>
      <c r="F2" s="525"/>
      <c r="G2" s="525"/>
      <c r="H2" s="525"/>
    </row>
    <row r="3" spans="1:20">
      <c r="A3" s="525" t="s">
        <v>3</v>
      </c>
      <c r="B3" s="525"/>
      <c r="C3" s="525"/>
      <c r="D3" s="525"/>
      <c r="E3" s="525"/>
      <c r="F3" s="525"/>
      <c r="G3" s="525"/>
      <c r="H3" s="525"/>
    </row>
    <row r="4" spans="1:20">
      <c r="A4" s="526" t="s">
        <v>5</v>
      </c>
      <c r="B4" s="526"/>
      <c r="C4" s="526"/>
      <c r="D4" s="526"/>
      <c r="E4" s="526"/>
      <c r="F4" s="526"/>
      <c r="G4" s="526"/>
      <c r="H4" s="526"/>
    </row>
    <row r="5" spans="1:20">
      <c r="A5" s="525" t="s">
        <v>353</v>
      </c>
      <c r="B5" s="525"/>
      <c r="C5" s="525"/>
      <c r="D5" s="525"/>
      <c r="E5" s="525"/>
      <c r="F5" s="525"/>
      <c r="G5" s="525"/>
      <c r="H5" s="525"/>
    </row>
    <row r="6" spans="1:20">
      <c r="G6" s="127" t="s">
        <v>142</v>
      </c>
    </row>
    <row r="7" spans="1:20" s="69" customFormat="1" ht="11.25" customHeight="1">
      <c r="A7" s="522" t="s">
        <v>0</v>
      </c>
      <c r="B7" s="522" t="s">
        <v>60</v>
      </c>
      <c r="C7" s="522" t="s">
        <v>61</v>
      </c>
      <c r="D7" s="522" t="s">
        <v>1</v>
      </c>
      <c r="E7" s="521" t="s">
        <v>154</v>
      </c>
      <c r="F7" s="527" t="s">
        <v>125</v>
      </c>
      <c r="G7" s="527"/>
      <c r="H7" s="521" t="s">
        <v>126</v>
      </c>
    </row>
    <row r="8" spans="1:20" s="62" customFormat="1" ht="12.75" customHeight="1">
      <c r="A8" s="523"/>
      <c r="B8" s="523"/>
      <c r="C8" s="523"/>
      <c r="D8" s="523"/>
      <c r="E8" s="508"/>
      <c r="F8" s="508" t="s">
        <v>215</v>
      </c>
      <c r="G8" s="508" t="s">
        <v>216</v>
      </c>
      <c r="H8" s="508"/>
    </row>
    <row r="9" spans="1:20" s="69" customFormat="1" ht="11.25" customHeight="1">
      <c r="A9" s="524"/>
      <c r="B9" s="524"/>
      <c r="C9" s="524"/>
      <c r="D9" s="524"/>
      <c r="E9" s="509"/>
      <c r="F9" s="509"/>
      <c r="G9" s="509"/>
      <c r="H9" s="509"/>
    </row>
    <row r="10" spans="1:20" s="62" customFormat="1" ht="9" customHeight="1">
      <c r="A10" s="45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180">
        <v>7</v>
      </c>
      <c r="H10" s="180">
        <v>8</v>
      </c>
    </row>
    <row r="11" spans="1:20" s="70" customFormat="1" ht="12">
      <c r="A11" s="411" t="s">
        <v>12</v>
      </c>
      <c r="B11" s="411"/>
      <c r="C11" s="409"/>
      <c r="D11" s="412" t="s">
        <v>25</v>
      </c>
      <c r="E11" s="405">
        <f>E12</f>
        <v>50000</v>
      </c>
      <c r="F11" s="405">
        <f>F12</f>
        <v>49834</v>
      </c>
      <c r="G11" s="405"/>
      <c r="H11" s="406">
        <f>F11/E11*100</f>
        <v>99.668000000000006</v>
      </c>
    </row>
    <row r="12" spans="1:20" s="63" customFormat="1" ht="12">
      <c r="A12" s="510" t="s">
        <v>11</v>
      </c>
      <c r="B12" s="65" t="s">
        <v>46</v>
      </c>
      <c r="C12" s="64"/>
      <c r="D12" s="185" t="s">
        <v>62</v>
      </c>
      <c r="E12" s="183">
        <f>E13</f>
        <v>50000</v>
      </c>
      <c r="F12" s="183">
        <f>F13</f>
        <v>49834</v>
      </c>
      <c r="G12" s="183"/>
      <c r="H12" s="184">
        <f>F12/E12*100</f>
        <v>99.668000000000006</v>
      </c>
    </row>
    <row r="13" spans="1:20" s="63" customFormat="1" ht="33.75">
      <c r="A13" s="511"/>
      <c r="B13" s="61"/>
      <c r="C13" s="61">
        <v>2110</v>
      </c>
      <c r="D13" s="92" t="s">
        <v>63</v>
      </c>
      <c r="E13" s="183">
        <v>50000</v>
      </c>
      <c r="F13" s="183">
        <v>49834</v>
      </c>
      <c r="G13" s="183"/>
      <c r="H13" s="184">
        <f>F13/E13*100</f>
        <v>99.668000000000006</v>
      </c>
    </row>
    <row r="14" spans="1:20" s="63" customFormat="1" ht="12">
      <c r="A14" s="402">
        <v>700</v>
      </c>
      <c r="B14" s="402"/>
      <c r="C14" s="402"/>
      <c r="D14" s="404" t="s">
        <v>27</v>
      </c>
      <c r="E14" s="405">
        <f>E15</f>
        <v>132000</v>
      </c>
      <c r="F14" s="405">
        <f>F15</f>
        <v>135851.56</v>
      </c>
      <c r="G14" s="405"/>
      <c r="H14" s="406">
        <f t="shared" ref="H14:H23" si="0">F14/E14*100</f>
        <v>102.91784848484849</v>
      </c>
    </row>
    <row r="15" spans="1:20" s="63" customFormat="1" ht="12" customHeight="1">
      <c r="A15" s="510" t="s">
        <v>11</v>
      </c>
      <c r="B15" s="61">
        <v>70005</v>
      </c>
      <c r="C15" s="61"/>
      <c r="D15" s="92" t="s">
        <v>68</v>
      </c>
      <c r="E15" s="183">
        <f>SUM(E16:E17)</f>
        <v>132000</v>
      </c>
      <c r="F15" s="183">
        <f>SUM(F16:F17)</f>
        <v>135851.56</v>
      </c>
      <c r="G15" s="183"/>
      <c r="H15" s="184">
        <f t="shared" si="0"/>
        <v>102.91784848484849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20" s="70" customFormat="1" ht="33" customHeight="1">
      <c r="A16" s="511"/>
      <c r="B16" s="510"/>
      <c r="C16" s="61">
        <v>2110</v>
      </c>
      <c r="D16" s="92" t="s">
        <v>63</v>
      </c>
      <c r="E16" s="183">
        <v>52000</v>
      </c>
      <c r="F16" s="183">
        <v>51973.33</v>
      </c>
      <c r="G16" s="183"/>
      <c r="H16" s="184">
        <f t="shared" si="0"/>
        <v>99.948711538461538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spans="1:20" s="70" customFormat="1" ht="34.5" customHeight="1">
      <c r="A17" s="512"/>
      <c r="B17" s="512"/>
      <c r="C17" s="61">
        <v>2360</v>
      </c>
      <c r="D17" s="92" t="s">
        <v>129</v>
      </c>
      <c r="E17" s="183">
        <v>80000</v>
      </c>
      <c r="F17" s="183">
        <v>83878.23</v>
      </c>
      <c r="G17" s="183"/>
      <c r="H17" s="184">
        <f t="shared" si="0"/>
        <v>104.8477875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spans="1:20" s="63" customFormat="1" ht="15" customHeight="1">
      <c r="A18" s="410">
        <v>710</v>
      </c>
      <c r="B18" s="411"/>
      <c r="C18" s="409"/>
      <c r="D18" s="404" t="s">
        <v>28</v>
      </c>
      <c r="E18" s="405">
        <f>E19+E21+E23</f>
        <v>415000</v>
      </c>
      <c r="F18" s="405">
        <f>F19+F21+F23</f>
        <v>415981.64999999997</v>
      </c>
      <c r="G18" s="405"/>
      <c r="H18" s="406">
        <f t="shared" si="0"/>
        <v>100.23654216867467</v>
      </c>
    </row>
    <row r="19" spans="1:20" s="63" customFormat="1" ht="14.25" customHeight="1">
      <c r="A19" s="514" t="s">
        <v>11</v>
      </c>
      <c r="B19" s="71">
        <v>71013</v>
      </c>
      <c r="C19" s="64"/>
      <c r="D19" s="92" t="s">
        <v>69</v>
      </c>
      <c r="E19" s="183">
        <f>E20</f>
        <v>107000</v>
      </c>
      <c r="F19" s="183">
        <f>F20</f>
        <v>107000</v>
      </c>
      <c r="G19" s="183"/>
      <c r="H19" s="184">
        <f t="shared" si="0"/>
        <v>100</v>
      </c>
    </row>
    <row r="20" spans="1:20" s="63" customFormat="1" ht="33.75" customHeight="1">
      <c r="A20" s="515"/>
      <c r="B20" s="72"/>
      <c r="C20" s="61">
        <v>2110</v>
      </c>
      <c r="D20" s="92" t="s">
        <v>63</v>
      </c>
      <c r="E20" s="183">
        <v>107000</v>
      </c>
      <c r="F20" s="183">
        <v>107000</v>
      </c>
      <c r="G20" s="183"/>
      <c r="H20" s="184">
        <f t="shared" si="0"/>
        <v>100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s="70" customFormat="1" ht="12">
      <c r="A21" s="515"/>
      <c r="B21" s="72">
        <v>71014</v>
      </c>
      <c r="C21" s="61"/>
      <c r="D21" s="92" t="s">
        <v>70</v>
      </c>
      <c r="E21" s="183">
        <f>E22</f>
        <v>22000</v>
      </c>
      <c r="F21" s="183">
        <f>F22</f>
        <v>21947</v>
      </c>
      <c r="G21" s="183"/>
      <c r="H21" s="184">
        <f t="shared" si="0"/>
        <v>99.759090909090915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spans="1:20" s="63" customFormat="1" ht="33" customHeight="1">
      <c r="A22" s="515"/>
      <c r="B22" s="72"/>
      <c r="C22" s="61">
        <v>2110</v>
      </c>
      <c r="D22" s="92" t="s">
        <v>63</v>
      </c>
      <c r="E22" s="183">
        <v>22000</v>
      </c>
      <c r="F22" s="183">
        <v>21947</v>
      </c>
      <c r="G22" s="183"/>
      <c r="H22" s="184">
        <f t="shared" si="0"/>
        <v>99.759090909090915</v>
      </c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</row>
    <row r="23" spans="1:20" s="63" customFormat="1" ht="12">
      <c r="A23" s="515"/>
      <c r="B23" s="177">
        <v>71015</v>
      </c>
      <c r="C23" s="61"/>
      <c r="D23" s="92" t="s">
        <v>71</v>
      </c>
      <c r="E23" s="183">
        <f>SUM(E24:E27)</f>
        <v>286000</v>
      </c>
      <c r="F23" s="183">
        <f>SUM(F24:F27)</f>
        <v>287034.64999999997</v>
      </c>
      <c r="G23" s="183"/>
      <c r="H23" s="184">
        <f t="shared" si="0"/>
        <v>100.36176573426572</v>
      </c>
    </row>
    <row r="24" spans="1:20" s="63" customFormat="1" ht="12">
      <c r="A24" s="515"/>
      <c r="B24" s="514"/>
      <c r="C24" s="73" t="s">
        <v>35</v>
      </c>
      <c r="D24" s="90" t="s">
        <v>36</v>
      </c>
      <c r="E24" s="183">
        <v>0</v>
      </c>
      <c r="F24" s="183">
        <v>522.4</v>
      </c>
      <c r="G24" s="183"/>
      <c r="H24" s="184"/>
    </row>
    <row r="25" spans="1:20" s="63" customFormat="1" ht="12.75" customHeight="1">
      <c r="A25" s="515"/>
      <c r="B25" s="515"/>
      <c r="C25" s="73" t="s">
        <v>47</v>
      </c>
      <c r="D25" s="92" t="s">
        <v>57</v>
      </c>
      <c r="E25" s="183">
        <v>0</v>
      </c>
      <c r="F25" s="183">
        <v>507.51</v>
      </c>
      <c r="G25" s="183"/>
      <c r="H25" s="184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</row>
    <row r="26" spans="1:20" s="63" customFormat="1" ht="34.5" customHeight="1">
      <c r="A26" s="515"/>
      <c r="B26" s="515"/>
      <c r="C26" s="68">
        <v>2110</v>
      </c>
      <c r="D26" s="92" t="s">
        <v>63</v>
      </c>
      <c r="E26" s="183">
        <v>286000</v>
      </c>
      <c r="F26" s="183">
        <v>285994.74</v>
      </c>
      <c r="G26" s="183"/>
      <c r="H26" s="184">
        <f t="shared" ref="H26:H34" si="1">F26/E26*100</f>
        <v>99.998160839160832</v>
      </c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1:20" s="63" customFormat="1" ht="34.5" customHeight="1">
      <c r="A27" s="516"/>
      <c r="B27" s="516"/>
      <c r="C27" s="256">
        <v>2360</v>
      </c>
      <c r="D27" s="92" t="s">
        <v>129</v>
      </c>
      <c r="E27" s="183">
        <v>0</v>
      </c>
      <c r="F27" s="183">
        <v>10</v>
      </c>
      <c r="G27" s="183"/>
      <c r="H27" s="184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1:20" s="63" customFormat="1" ht="12">
      <c r="A28" s="409">
        <v>750</v>
      </c>
      <c r="B28" s="409"/>
      <c r="C28" s="409"/>
      <c r="D28" s="404" t="s">
        <v>29</v>
      </c>
      <c r="E28" s="405">
        <f>E29+E31</f>
        <v>124006</v>
      </c>
      <c r="F28" s="405">
        <f>F29+F31</f>
        <v>124005.66</v>
      </c>
      <c r="G28" s="405"/>
      <c r="H28" s="406">
        <f t="shared" si="1"/>
        <v>99.999725819718392</v>
      </c>
    </row>
    <row r="29" spans="1:20" s="63" customFormat="1" ht="12">
      <c r="A29" s="513" t="s">
        <v>11</v>
      </c>
      <c r="B29" s="64">
        <v>75011</v>
      </c>
      <c r="C29" s="64"/>
      <c r="D29" s="92" t="s">
        <v>73</v>
      </c>
      <c r="E29" s="183">
        <f>E30</f>
        <v>105200</v>
      </c>
      <c r="F29" s="183">
        <f>F30</f>
        <v>105200</v>
      </c>
      <c r="G29" s="183"/>
      <c r="H29" s="184">
        <f t="shared" si="1"/>
        <v>100</v>
      </c>
    </row>
    <row r="30" spans="1:20" s="63" customFormat="1" ht="33.75">
      <c r="A30" s="513"/>
      <c r="B30" s="64"/>
      <c r="C30" s="61">
        <v>2110</v>
      </c>
      <c r="D30" s="92" t="s">
        <v>63</v>
      </c>
      <c r="E30" s="183">
        <v>105200</v>
      </c>
      <c r="F30" s="183">
        <v>105200</v>
      </c>
      <c r="G30" s="183"/>
      <c r="H30" s="184">
        <f t="shared" si="1"/>
        <v>100</v>
      </c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pans="1:20" s="63" customFormat="1" ht="12">
      <c r="A31" s="513"/>
      <c r="B31" s="64">
        <v>75045</v>
      </c>
      <c r="C31" s="64"/>
      <c r="D31" s="92" t="s">
        <v>287</v>
      </c>
      <c r="E31" s="183">
        <f>E32</f>
        <v>18806</v>
      </c>
      <c r="F31" s="183">
        <f>F32</f>
        <v>18805.66</v>
      </c>
      <c r="G31" s="183"/>
      <c r="H31" s="184">
        <f t="shared" si="1"/>
        <v>99.998192066361796</v>
      </c>
    </row>
    <row r="32" spans="1:20" s="63" customFormat="1" ht="33" customHeight="1">
      <c r="A32" s="513"/>
      <c r="B32" s="61"/>
      <c r="C32" s="61">
        <v>2110</v>
      </c>
      <c r="D32" s="92" t="s">
        <v>63</v>
      </c>
      <c r="E32" s="183">
        <v>18806</v>
      </c>
      <c r="F32" s="183">
        <v>18805.66</v>
      </c>
      <c r="G32" s="183"/>
      <c r="H32" s="184">
        <f t="shared" si="1"/>
        <v>99.998192066361796</v>
      </c>
    </row>
    <row r="33" spans="1:8" s="63" customFormat="1" ht="13.5" customHeight="1">
      <c r="A33" s="408">
        <v>754</v>
      </c>
      <c r="B33" s="402"/>
      <c r="C33" s="402"/>
      <c r="D33" s="404" t="s">
        <v>30</v>
      </c>
      <c r="E33" s="405">
        <f>E34</f>
        <v>3135243</v>
      </c>
      <c r="F33" s="405">
        <f t="shared" ref="F33:G33" si="2">F34</f>
        <v>3136792.06</v>
      </c>
      <c r="G33" s="405">
        <f t="shared" si="2"/>
        <v>0</v>
      </c>
      <c r="H33" s="406">
        <f t="shared" si="1"/>
        <v>100.04940797252398</v>
      </c>
    </row>
    <row r="34" spans="1:8" s="63" customFormat="1" ht="12">
      <c r="A34" s="510" t="s">
        <v>11</v>
      </c>
      <c r="B34" s="74">
        <v>75411</v>
      </c>
      <c r="C34" s="61"/>
      <c r="D34" s="92" t="s">
        <v>38</v>
      </c>
      <c r="E34" s="183">
        <f>SUM(E35:E38)</f>
        <v>3135243</v>
      </c>
      <c r="F34" s="183">
        <f>SUM(F35:F38)</f>
        <v>3136792.06</v>
      </c>
      <c r="G34" s="183">
        <f>SUM(G35:G38)</f>
        <v>0</v>
      </c>
      <c r="H34" s="184">
        <f t="shared" si="1"/>
        <v>100.04940797252398</v>
      </c>
    </row>
    <row r="35" spans="1:8" s="63" customFormat="1" ht="12">
      <c r="A35" s="511"/>
      <c r="B35" s="510"/>
      <c r="C35" s="73" t="s">
        <v>47</v>
      </c>
      <c r="D35" s="92" t="s">
        <v>57</v>
      </c>
      <c r="E35" s="183">
        <v>6000</v>
      </c>
      <c r="F35" s="183">
        <v>7556.96</v>
      </c>
      <c r="G35" s="183"/>
      <c r="H35" s="184"/>
    </row>
    <row r="36" spans="1:8" s="63" customFormat="1" ht="12">
      <c r="A36" s="511"/>
      <c r="B36" s="511"/>
      <c r="C36" s="73" t="s">
        <v>54</v>
      </c>
      <c r="D36" s="92" t="s">
        <v>56</v>
      </c>
      <c r="E36" s="183">
        <v>800</v>
      </c>
      <c r="F36" s="183">
        <v>794</v>
      </c>
      <c r="G36" s="183"/>
      <c r="H36" s="184"/>
    </row>
    <row r="37" spans="1:8" s="63" customFormat="1" ht="33.75">
      <c r="A37" s="511"/>
      <c r="B37" s="511"/>
      <c r="C37" s="68">
        <v>2110</v>
      </c>
      <c r="D37" s="92" t="s">
        <v>63</v>
      </c>
      <c r="E37" s="183">
        <v>3128443</v>
      </c>
      <c r="F37" s="183">
        <v>3128433.85</v>
      </c>
      <c r="G37" s="183"/>
      <c r="H37" s="184">
        <f>F37/E37*100</f>
        <v>99.9997075222403</v>
      </c>
    </row>
    <row r="38" spans="1:8" s="63" customFormat="1" ht="33.75">
      <c r="A38" s="511"/>
      <c r="B38" s="511"/>
      <c r="C38" s="68">
        <v>2360</v>
      </c>
      <c r="D38" s="92" t="s">
        <v>129</v>
      </c>
      <c r="E38" s="183">
        <v>0</v>
      </c>
      <c r="F38" s="183">
        <v>7.25</v>
      </c>
      <c r="G38" s="183"/>
      <c r="H38" s="184"/>
    </row>
    <row r="39" spans="1:8" s="63" customFormat="1" ht="12.75" customHeight="1">
      <c r="A39" s="402">
        <v>851</v>
      </c>
      <c r="B39" s="402"/>
      <c r="C39" s="402"/>
      <c r="D39" s="407" t="s">
        <v>32</v>
      </c>
      <c r="E39" s="405">
        <f>E40</f>
        <v>2421083.6800000002</v>
      </c>
      <c r="F39" s="405">
        <f>F40</f>
        <v>2420870.12</v>
      </c>
      <c r="G39" s="405"/>
      <c r="H39" s="406">
        <f t="shared" ref="H39:H43" si="3">F39/E39*100</f>
        <v>99.991179156599813</v>
      </c>
    </row>
    <row r="40" spans="1:8" s="63" customFormat="1" ht="12">
      <c r="A40" s="511"/>
      <c r="B40" s="61">
        <v>85156</v>
      </c>
      <c r="C40" s="61"/>
      <c r="D40" s="186" t="s">
        <v>85</v>
      </c>
      <c r="E40" s="183">
        <f>E41</f>
        <v>2421083.6800000002</v>
      </c>
      <c r="F40" s="183">
        <f>F41</f>
        <v>2420870.12</v>
      </c>
      <c r="G40" s="183"/>
      <c r="H40" s="184">
        <f t="shared" si="3"/>
        <v>99.991179156599813</v>
      </c>
    </row>
    <row r="41" spans="1:8" s="63" customFormat="1" ht="33" customHeight="1">
      <c r="A41" s="511"/>
      <c r="B41" s="61"/>
      <c r="C41" s="61">
        <v>2110</v>
      </c>
      <c r="D41" s="92" t="s">
        <v>63</v>
      </c>
      <c r="E41" s="183">
        <v>2421083.6800000002</v>
      </c>
      <c r="F41" s="183">
        <v>2420870.12</v>
      </c>
      <c r="G41" s="183"/>
      <c r="H41" s="184">
        <f t="shared" si="3"/>
        <v>99.991179156599813</v>
      </c>
    </row>
    <row r="42" spans="1:8" s="63" customFormat="1" ht="12">
      <c r="A42" s="402">
        <v>852</v>
      </c>
      <c r="B42" s="402"/>
      <c r="C42" s="402"/>
      <c r="D42" s="404" t="s">
        <v>33</v>
      </c>
      <c r="E42" s="405">
        <f>E43+E50</f>
        <v>785933.19</v>
      </c>
      <c r="F42" s="405">
        <f>F43+F50</f>
        <v>796313.61999999988</v>
      </c>
      <c r="G42" s="405"/>
      <c r="H42" s="406">
        <f t="shared" si="3"/>
        <v>101.32077766050318</v>
      </c>
    </row>
    <row r="43" spans="1:8" s="63" customFormat="1" ht="12">
      <c r="A43" s="510"/>
      <c r="B43" s="61">
        <v>85203</v>
      </c>
      <c r="C43" s="61"/>
      <c r="D43" s="92" t="s">
        <v>88</v>
      </c>
      <c r="E43" s="183">
        <f>SUM(E44:E49)</f>
        <v>466433.19</v>
      </c>
      <c r="F43" s="183">
        <f>SUM(F44:F49)</f>
        <v>476825.37999999995</v>
      </c>
      <c r="G43" s="183"/>
      <c r="H43" s="184">
        <f t="shared" si="3"/>
        <v>102.22801254773486</v>
      </c>
    </row>
    <row r="44" spans="1:8" s="63" customFormat="1" ht="45">
      <c r="A44" s="511"/>
      <c r="B44" s="511"/>
      <c r="C44" s="60" t="s">
        <v>20</v>
      </c>
      <c r="D44" s="92" t="s">
        <v>130</v>
      </c>
      <c r="E44" s="183">
        <v>0</v>
      </c>
      <c r="F44" s="183">
        <v>8400</v>
      </c>
      <c r="G44" s="183"/>
      <c r="H44" s="184"/>
    </row>
    <row r="45" spans="1:8" s="63" customFormat="1" ht="12">
      <c r="A45" s="511"/>
      <c r="B45" s="511"/>
      <c r="C45" s="60" t="s">
        <v>53</v>
      </c>
      <c r="D45" s="87" t="s">
        <v>55</v>
      </c>
      <c r="E45" s="183">
        <v>203.39</v>
      </c>
      <c r="F45" s="183">
        <v>443.39</v>
      </c>
      <c r="G45" s="183"/>
      <c r="H45" s="184"/>
    </row>
    <row r="46" spans="1:8" s="63" customFormat="1" ht="12">
      <c r="A46" s="511"/>
      <c r="B46" s="511"/>
      <c r="C46" s="60" t="s">
        <v>47</v>
      </c>
      <c r="D46" s="92" t="s">
        <v>57</v>
      </c>
      <c r="E46" s="183">
        <v>0</v>
      </c>
      <c r="F46" s="183">
        <v>444.01</v>
      </c>
      <c r="G46" s="183"/>
      <c r="H46" s="184"/>
    </row>
    <row r="47" spans="1:8" s="63" customFormat="1" ht="12">
      <c r="A47" s="511"/>
      <c r="B47" s="511"/>
      <c r="C47" s="60" t="s">
        <v>54</v>
      </c>
      <c r="D47" s="92" t="s">
        <v>56</v>
      </c>
      <c r="E47" s="183">
        <v>5429.8</v>
      </c>
      <c r="F47" s="183">
        <v>6488.47</v>
      </c>
      <c r="G47" s="183"/>
      <c r="H47" s="184"/>
    </row>
    <row r="48" spans="1:8" s="63" customFormat="1" ht="33.75">
      <c r="A48" s="511"/>
      <c r="B48" s="511"/>
      <c r="C48" s="61">
        <v>2110</v>
      </c>
      <c r="D48" s="92" t="s">
        <v>63</v>
      </c>
      <c r="E48" s="183">
        <v>460800</v>
      </c>
      <c r="F48" s="183">
        <v>460791.6</v>
      </c>
      <c r="G48" s="183"/>
      <c r="H48" s="184">
        <f>F48/E48*100</f>
        <v>99.998177083333331</v>
      </c>
    </row>
    <row r="49" spans="1:8" s="63" customFormat="1" ht="33.75">
      <c r="A49" s="511"/>
      <c r="B49" s="512"/>
      <c r="C49" s="61">
        <v>2360</v>
      </c>
      <c r="D49" s="92" t="s">
        <v>129</v>
      </c>
      <c r="E49" s="183">
        <v>0</v>
      </c>
      <c r="F49" s="183">
        <v>257.91000000000003</v>
      </c>
      <c r="G49" s="183"/>
      <c r="H49" s="184"/>
    </row>
    <row r="50" spans="1:8" s="63" customFormat="1" ht="13.5" customHeight="1">
      <c r="A50" s="511"/>
      <c r="B50" s="176">
        <v>85205</v>
      </c>
      <c r="C50" s="178"/>
      <c r="D50" s="87" t="s">
        <v>209</v>
      </c>
      <c r="E50" s="183">
        <f>E51</f>
        <v>319500</v>
      </c>
      <c r="F50" s="183">
        <f>F51</f>
        <v>319488.24</v>
      </c>
      <c r="G50" s="183"/>
      <c r="H50" s="184">
        <f t="shared" ref="H50:H55" si="4">F50/E50*100</f>
        <v>99.996319248826296</v>
      </c>
    </row>
    <row r="51" spans="1:8" s="63" customFormat="1" ht="33.75">
      <c r="A51" s="512"/>
      <c r="B51" s="176"/>
      <c r="C51" s="178">
        <v>2110</v>
      </c>
      <c r="D51" s="92" t="s">
        <v>63</v>
      </c>
      <c r="E51" s="183">
        <v>319500</v>
      </c>
      <c r="F51" s="183">
        <v>319488.24</v>
      </c>
      <c r="G51" s="183"/>
      <c r="H51" s="184">
        <f t="shared" si="4"/>
        <v>99.996319248826296</v>
      </c>
    </row>
    <row r="52" spans="1:8" s="63" customFormat="1" ht="12">
      <c r="A52" s="402">
        <v>853</v>
      </c>
      <c r="B52" s="402"/>
      <c r="C52" s="403"/>
      <c r="D52" s="404" t="s">
        <v>34</v>
      </c>
      <c r="E52" s="405">
        <f>E53</f>
        <v>125760</v>
      </c>
      <c r="F52" s="405">
        <f>F53</f>
        <v>125758.74</v>
      </c>
      <c r="G52" s="405"/>
      <c r="H52" s="406">
        <f t="shared" si="4"/>
        <v>99.998998091603056</v>
      </c>
    </row>
    <row r="53" spans="1:8" s="63" customFormat="1" ht="12">
      <c r="A53" s="520" t="s">
        <v>11</v>
      </c>
      <c r="B53" s="61">
        <v>85321</v>
      </c>
      <c r="C53" s="61"/>
      <c r="D53" s="92" t="s">
        <v>91</v>
      </c>
      <c r="E53" s="183">
        <f>E54</f>
        <v>125760</v>
      </c>
      <c r="F53" s="183">
        <f>F54</f>
        <v>125758.74</v>
      </c>
      <c r="G53" s="183"/>
      <c r="H53" s="184">
        <f t="shared" si="4"/>
        <v>99.998998091603056</v>
      </c>
    </row>
    <row r="54" spans="1:8" s="63" customFormat="1" ht="33.75">
      <c r="A54" s="520"/>
      <c r="B54" s="61"/>
      <c r="C54" s="61">
        <v>2110</v>
      </c>
      <c r="D54" s="92" t="s">
        <v>63</v>
      </c>
      <c r="E54" s="183">
        <v>125760</v>
      </c>
      <c r="F54" s="183">
        <v>125758.74</v>
      </c>
      <c r="G54" s="183"/>
      <c r="H54" s="184">
        <f t="shared" si="4"/>
        <v>99.998998091603056</v>
      </c>
    </row>
    <row r="55" spans="1:8" s="63" customFormat="1" ht="12">
      <c r="A55" s="517" t="s">
        <v>24</v>
      </c>
      <c r="B55" s="518"/>
      <c r="C55" s="518"/>
      <c r="D55" s="519"/>
      <c r="E55" s="405">
        <f>E11+E14+E18+E28+E33+E39+E42+E52</f>
        <v>7189025.8699999992</v>
      </c>
      <c r="F55" s="405">
        <f t="shared" ref="F55:G55" si="5">F11+F14+F18+F28+F33+F39+F42+F52</f>
        <v>7205407.4100000011</v>
      </c>
      <c r="G55" s="405">
        <f t="shared" si="5"/>
        <v>0</v>
      </c>
      <c r="H55" s="406">
        <f t="shared" si="4"/>
        <v>100.22786870288452</v>
      </c>
    </row>
    <row r="56" spans="1:8" s="63" customFormat="1" ht="12"/>
  </sheetData>
  <mergeCells count="27">
    <mergeCell ref="A55:D55"/>
    <mergeCell ref="A53:A54"/>
    <mergeCell ref="D1:H1"/>
    <mergeCell ref="H7:H9"/>
    <mergeCell ref="C7:C9"/>
    <mergeCell ref="D7:D9"/>
    <mergeCell ref="A3:H3"/>
    <mergeCell ref="A2:H2"/>
    <mergeCell ref="A4:H4"/>
    <mergeCell ref="A5:H5"/>
    <mergeCell ref="E7:E9"/>
    <mergeCell ref="A7:A9"/>
    <mergeCell ref="B7:B9"/>
    <mergeCell ref="A15:A17"/>
    <mergeCell ref="B16:B17"/>
    <mergeCell ref="F7:G7"/>
    <mergeCell ref="F8:F9"/>
    <mergeCell ref="G8:G9"/>
    <mergeCell ref="A12:A13"/>
    <mergeCell ref="B44:B49"/>
    <mergeCell ref="B35:B38"/>
    <mergeCell ref="A40:A41"/>
    <mergeCell ref="A29:A32"/>
    <mergeCell ref="A43:A51"/>
    <mergeCell ref="A19:A27"/>
    <mergeCell ref="B24:B27"/>
    <mergeCell ref="A34:A38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>
    <oddFooter>&amp;C&amp;"Times New (W1),Normalny"Tabela Nr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I101"/>
  <sheetViews>
    <sheetView view="pageLayout" topLeftCell="A76" workbookViewId="0">
      <selection activeCell="H92" sqref="H92:L92"/>
    </sheetView>
  </sheetViews>
  <sheetFormatPr defaultRowHeight="12.75"/>
  <cols>
    <col min="1" max="1" width="3.7109375" customWidth="1"/>
    <col min="2" max="2" width="5" customWidth="1"/>
    <col min="3" max="3" width="22.28515625" customWidth="1"/>
    <col min="4" max="4" width="10.7109375" customWidth="1"/>
    <col min="5" max="5" width="11.28515625" customWidth="1"/>
    <col min="6" max="6" width="11" customWidth="1"/>
    <col min="7" max="7" width="10.7109375" customWidth="1"/>
    <col min="8" max="8" width="9.7109375" customWidth="1"/>
    <col min="9" max="9" width="10" customWidth="1"/>
    <col min="10" max="10" width="8.85546875" customWidth="1"/>
    <col min="11" max="11" width="8.7109375" customWidth="1"/>
    <col min="12" max="12" width="7.42578125" customWidth="1"/>
    <col min="13" max="13" width="10.7109375" customWidth="1"/>
    <col min="14" max="14" width="9.5703125" customWidth="1"/>
    <col min="15" max="15" width="8.140625" customWidth="1"/>
    <col min="16" max="16" width="4.5703125" style="83" customWidth="1"/>
  </cols>
  <sheetData>
    <row r="1" spans="1:35">
      <c r="A1" s="42"/>
      <c r="B1" s="42"/>
      <c r="C1" s="42"/>
      <c r="D1" s="42"/>
      <c r="E1" s="42"/>
      <c r="F1" s="42"/>
      <c r="G1" s="42"/>
      <c r="H1" s="42"/>
      <c r="I1" s="535" t="s">
        <v>290</v>
      </c>
      <c r="J1" s="535"/>
      <c r="K1" s="535"/>
      <c r="L1" s="535"/>
      <c r="M1" s="535"/>
      <c r="N1" s="535"/>
      <c r="O1" s="535"/>
      <c r="P1" s="535"/>
    </row>
    <row r="2" spans="1:35" ht="14.25">
      <c r="A2" s="544" t="s">
        <v>6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</row>
    <row r="3" spans="1:35" ht="14.25">
      <c r="A3" s="544" t="s">
        <v>3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</row>
    <row r="4" spans="1:35" ht="15.75" customHeight="1">
      <c r="A4" s="545" t="s">
        <v>4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</row>
    <row r="5" spans="1:35" ht="14.25">
      <c r="A5" s="544" t="s">
        <v>353</v>
      </c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</row>
    <row r="6" spans="1:3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84"/>
    </row>
    <row r="7" spans="1:35">
      <c r="A7" s="42" t="s">
        <v>254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53" t="s">
        <v>142</v>
      </c>
      <c r="N7" s="53"/>
      <c r="O7" s="53"/>
    </row>
    <row r="8" spans="1:35" s="6" customFormat="1" ht="12.75" customHeight="1">
      <c r="A8" s="536" t="s">
        <v>0</v>
      </c>
      <c r="B8" s="536" t="s">
        <v>7</v>
      </c>
      <c r="C8" s="536" t="s">
        <v>1</v>
      </c>
      <c r="D8" s="546" t="s">
        <v>154</v>
      </c>
      <c r="E8" s="497" t="s">
        <v>125</v>
      </c>
      <c r="F8" s="547" t="s">
        <v>145</v>
      </c>
      <c r="G8" s="548"/>
      <c r="H8" s="548"/>
      <c r="I8" s="548"/>
      <c r="J8" s="548"/>
      <c r="K8" s="548"/>
      <c r="L8" s="548"/>
      <c r="M8" s="548"/>
      <c r="N8" s="548"/>
      <c r="O8" s="549"/>
      <c r="P8" s="538" t="s">
        <v>122</v>
      </c>
    </row>
    <row r="9" spans="1:35" s="6" customFormat="1" ht="12.75" customHeight="1">
      <c r="A9" s="536"/>
      <c r="B9" s="536"/>
      <c r="C9" s="536"/>
      <c r="D9" s="546"/>
      <c r="E9" s="498"/>
      <c r="F9" s="537" t="s">
        <v>8</v>
      </c>
      <c r="G9" s="541" t="s">
        <v>9</v>
      </c>
      <c r="H9" s="542"/>
      <c r="I9" s="542"/>
      <c r="J9" s="542"/>
      <c r="K9" s="542"/>
      <c r="L9" s="543"/>
      <c r="M9" s="536" t="s">
        <v>146</v>
      </c>
      <c r="N9" s="536" t="s">
        <v>386</v>
      </c>
      <c r="O9" s="536"/>
      <c r="P9" s="539"/>
    </row>
    <row r="10" spans="1:35" s="6" customFormat="1" ht="73.5" customHeight="1">
      <c r="A10" s="536"/>
      <c r="B10" s="536"/>
      <c r="C10" s="536"/>
      <c r="D10" s="546"/>
      <c r="E10" s="499"/>
      <c r="F10" s="537"/>
      <c r="G10" s="93" t="s">
        <v>210</v>
      </c>
      <c r="H10" s="93" t="s">
        <v>214</v>
      </c>
      <c r="I10" s="93" t="s">
        <v>211</v>
      </c>
      <c r="J10" s="93" t="s">
        <v>212</v>
      </c>
      <c r="K10" s="173" t="s">
        <v>213</v>
      </c>
      <c r="L10" s="93" t="s">
        <v>10</v>
      </c>
      <c r="M10" s="536"/>
      <c r="N10" s="389" t="s">
        <v>387</v>
      </c>
      <c r="O10" s="392" t="s">
        <v>213</v>
      </c>
      <c r="P10" s="540"/>
    </row>
    <row r="11" spans="1:35" s="51" customFormat="1" ht="11.25">
      <c r="A11" s="49">
        <v>1</v>
      </c>
      <c r="B11" s="49">
        <v>2</v>
      </c>
      <c r="C11" s="49">
        <v>3</v>
      </c>
      <c r="D11" s="49">
        <v>4</v>
      </c>
      <c r="E11" s="88">
        <v>5</v>
      </c>
      <c r="F11" s="49">
        <v>6</v>
      </c>
      <c r="G11" s="49">
        <v>7</v>
      </c>
      <c r="H11" s="49">
        <v>8</v>
      </c>
      <c r="I11" s="49">
        <v>9</v>
      </c>
      <c r="J11" s="135">
        <v>10</v>
      </c>
      <c r="K11" s="135">
        <v>11</v>
      </c>
      <c r="L11" s="135">
        <v>12</v>
      </c>
      <c r="M11" s="135">
        <v>13</v>
      </c>
      <c r="N11" s="135">
        <v>14</v>
      </c>
      <c r="O11" s="135">
        <v>15</v>
      </c>
      <c r="P11" s="135">
        <v>16</v>
      </c>
    </row>
    <row r="12" spans="1:35" s="3" customFormat="1">
      <c r="A12" s="113" t="s">
        <v>12</v>
      </c>
      <c r="B12" s="413"/>
      <c r="C12" s="414" t="s">
        <v>25</v>
      </c>
      <c r="D12" s="415">
        <f>D13+D14</f>
        <v>50325</v>
      </c>
      <c r="E12" s="415">
        <f t="shared" ref="E12:M12" si="0">E13+E14</f>
        <v>50159</v>
      </c>
      <c r="F12" s="415">
        <f t="shared" si="0"/>
        <v>50159</v>
      </c>
      <c r="G12" s="416">
        <f t="shared" si="0"/>
        <v>0</v>
      </c>
      <c r="H12" s="416">
        <f t="shared" si="0"/>
        <v>50159</v>
      </c>
      <c r="I12" s="416">
        <f t="shared" si="0"/>
        <v>0</v>
      </c>
      <c r="J12" s="416">
        <f t="shared" si="0"/>
        <v>0</v>
      </c>
      <c r="K12" s="416">
        <f t="shared" si="0"/>
        <v>0</v>
      </c>
      <c r="L12" s="416">
        <f t="shared" si="0"/>
        <v>0</v>
      </c>
      <c r="M12" s="415">
        <f t="shared" si="0"/>
        <v>0</v>
      </c>
      <c r="N12" s="416"/>
      <c r="O12" s="416"/>
      <c r="P12" s="417">
        <f>E12/D12*100</f>
        <v>99.67014406358669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5" ht="19.5">
      <c r="A13" s="476" t="s">
        <v>11</v>
      </c>
      <c r="B13" s="112" t="s">
        <v>46</v>
      </c>
      <c r="C13" s="399" t="s">
        <v>62</v>
      </c>
      <c r="D13" s="170">
        <v>50000</v>
      </c>
      <c r="E13" s="170">
        <v>49834</v>
      </c>
      <c r="F13" s="170">
        <f>E13</f>
        <v>49834</v>
      </c>
      <c r="G13" s="400">
        <v>0</v>
      </c>
      <c r="H13" s="400">
        <f>F13-G13</f>
        <v>49834</v>
      </c>
      <c r="I13" s="400">
        <v>0</v>
      </c>
      <c r="J13" s="400"/>
      <c r="K13" s="400"/>
      <c r="L13" s="400">
        <v>0</v>
      </c>
      <c r="M13" s="170">
        <v>0</v>
      </c>
      <c r="N13" s="400"/>
      <c r="O13" s="400"/>
      <c r="P13" s="393">
        <f t="shared" ref="P13:P76" si="1">E13/D13*100</f>
        <v>99.668000000000006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>
      <c r="A14" s="478"/>
      <c r="B14" s="112" t="s">
        <v>194</v>
      </c>
      <c r="C14" s="394" t="s">
        <v>72</v>
      </c>
      <c r="D14" s="170">
        <v>325</v>
      </c>
      <c r="E14" s="170">
        <v>325</v>
      </c>
      <c r="F14" s="170">
        <f>E14</f>
        <v>325</v>
      </c>
      <c r="G14" s="400"/>
      <c r="H14" s="400">
        <f>F14</f>
        <v>325</v>
      </c>
      <c r="I14" s="400"/>
      <c r="J14" s="400"/>
      <c r="K14" s="400"/>
      <c r="L14" s="400"/>
      <c r="M14" s="170"/>
      <c r="N14" s="400"/>
      <c r="O14" s="400"/>
      <c r="P14" s="393">
        <f t="shared" si="1"/>
        <v>100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s="4" customFormat="1">
      <c r="A15" s="113" t="s">
        <v>13</v>
      </c>
      <c r="B15" s="113"/>
      <c r="C15" s="414" t="s">
        <v>26</v>
      </c>
      <c r="D15" s="418">
        <f>D16+D17</f>
        <v>311973.09999999998</v>
      </c>
      <c r="E15" s="418">
        <f t="shared" ref="E15:M15" si="2">E16+E17</f>
        <v>278950.84999999998</v>
      </c>
      <c r="F15" s="418">
        <f t="shared" si="2"/>
        <v>278950.84999999998</v>
      </c>
      <c r="G15" s="419">
        <f t="shared" si="2"/>
        <v>0</v>
      </c>
      <c r="H15" s="419">
        <f t="shared" si="2"/>
        <v>29052.82</v>
      </c>
      <c r="I15" s="419">
        <f t="shared" si="2"/>
        <v>0</v>
      </c>
      <c r="J15" s="419">
        <f t="shared" si="2"/>
        <v>249898.03</v>
      </c>
      <c r="K15" s="419">
        <f t="shared" si="2"/>
        <v>0</v>
      </c>
      <c r="L15" s="419">
        <f t="shared" si="2"/>
        <v>0</v>
      </c>
      <c r="M15" s="418">
        <f t="shared" si="2"/>
        <v>0</v>
      </c>
      <c r="N15" s="419"/>
      <c r="O15" s="419"/>
      <c r="P15" s="417">
        <f t="shared" si="1"/>
        <v>89.415032898669793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>
      <c r="A16" s="476"/>
      <c r="B16" s="112" t="s">
        <v>64</v>
      </c>
      <c r="C16" s="394" t="s">
        <v>65</v>
      </c>
      <c r="D16" s="170">
        <v>270000</v>
      </c>
      <c r="E16" s="170">
        <v>249898.03</v>
      </c>
      <c r="F16" s="170">
        <f>E16</f>
        <v>249898.03</v>
      </c>
      <c r="G16" s="400">
        <v>0</v>
      </c>
      <c r="H16" s="400"/>
      <c r="I16" s="400">
        <v>0</v>
      </c>
      <c r="J16" s="400">
        <f>F16</f>
        <v>249898.03</v>
      </c>
      <c r="K16" s="400"/>
      <c r="L16" s="400">
        <v>0</v>
      </c>
      <c r="M16" s="170">
        <v>0</v>
      </c>
      <c r="N16" s="400"/>
      <c r="O16" s="400"/>
      <c r="P16" s="393">
        <f t="shared" si="1"/>
        <v>92.554825925925925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35">
      <c r="A17" s="477"/>
      <c r="B17" s="112" t="s">
        <v>99</v>
      </c>
      <c r="C17" s="399" t="s">
        <v>100</v>
      </c>
      <c r="D17" s="170">
        <v>41973.1</v>
      </c>
      <c r="E17" s="170">
        <v>29052.82</v>
      </c>
      <c r="F17" s="170">
        <f>E17</f>
        <v>29052.82</v>
      </c>
      <c r="G17" s="400">
        <v>0</v>
      </c>
      <c r="H17" s="400">
        <f>F17</f>
        <v>29052.82</v>
      </c>
      <c r="I17" s="400">
        <v>0</v>
      </c>
      <c r="J17" s="400"/>
      <c r="K17" s="400"/>
      <c r="L17" s="400">
        <v>0</v>
      </c>
      <c r="M17" s="170">
        <v>0</v>
      </c>
      <c r="N17" s="400"/>
      <c r="O17" s="400"/>
      <c r="P17" s="393">
        <f t="shared" si="1"/>
        <v>69.217713249676578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35" s="4" customFormat="1">
      <c r="A18" s="115">
        <v>600</v>
      </c>
      <c r="B18" s="113"/>
      <c r="C18" s="420" t="s">
        <v>67</v>
      </c>
      <c r="D18" s="418">
        <f>D19+D20</f>
        <v>6771728.0300000003</v>
      </c>
      <c r="E18" s="418">
        <f t="shared" ref="E18:N18" si="3">E19+E20</f>
        <v>6605817.2699999996</v>
      </c>
      <c r="F18" s="418">
        <f t="shared" si="3"/>
        <v>3119906.63</v>
      </c>
      <c r="G18" s="419">
        <f t="shared" si="3"/>
        <v>1074938.83</v>
      </c>
      <c r="H18" s="419">
        <f t="shared" si="3"/>
        <v>1943021.92</v>
      </c>
      <c r="I18" s="419">
        <f t="shared" si="3"/>
        <v>80000</v>
      </c>
      <c r="J18" s="419">
        <f t="shared" si="3"/>
        <v>21945.88</v>
      </c>
      <c r="K18" s="419">
        <f t="shared" si="3"/>
        <v>0</v>
      </c>
      <c r="L18" s="419">
        <f t="shared" si="3"/>
        <v>0</v>
      </c>
      <c r="M18" s="418">
        <f t="shared" si="3"/>
        <v>3485910.6399999997</v>
      </c>
      <c r="N18" s="419">
        <f t="shared" si="3"/>
        <v>3263684.19</v>
      </c>
      <c r="O18" s="419"/>
      <c r="P18" s="417">
        <f t="shared" si="1"/>
        <v>97.549949447689187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1:35">
      <c r="A19" s="528"/>
      <c r="B19" s="112">
        <v>60014</v>
      </c>
      <c r="C19" s="399" t="s">
        <v>37</v>
      </c>
      <c r="D19" s="170">
        <v>6492469.3799999999</v>
      </c>
      <c r="E19" s="170">
        <v>6415836.0999999996</v>
      </c>
      <c r="F19" s="170">
        <f>E19-M19</f>
        <v>3119906.63</v>
      </c>
      <c r="G19" s="400">
        <f>867808.68+56320.02+130688.85+14621.28+5500</f>
        <v>1074938.83</v>
      </c>
      <c r="H19" s="400">
        <f>F19-G19-J19-I19</f>
        <v>1943021.92</v>
      </c>
      <c r="I19" s="400">
        <v>80000</v>
      </c>
      <c r="J19" s="400">
        <v>21945.88</v>
      </c>
      <c r="K19" s="400"/>
      <c r="L19" s="400">
        <v>0</v>
      </c>
      <c r="M19" s="170">
        <f>32245.28+54007+3209677.19</f>
        <v>3295929.4699999997</v>
      </c>
      <c r="N19" s="400">
        <f>3209677.19+54007</f>
        <v>3263684.19</v>
      </c>
      <c r="O19" s="400"/>
      <c r="P19" s="393">
        <f t="shared" si="1"/>
        <v>98.819658969265717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35">
      <c r="A20" s="529"/>
      <c r="B20" s="112">
        <v>60016</v>
      </c>
      <c r="C20" s="399" t="s">
        <v>195</v>
      </c>
      <c r="D20" s="170">
        <v>279258.65000000002</v>
      </c>
      <c r="E20" s="170">
        <v>189981.17</v>
      </c>
      <c r="F20" s="170"/>
      <c r="G20" s="400"/>
      <c r="H20" s="400"/>
      <c r="I20" s="400"/>
      <c r="J20" s="400"/>
      <c r="K20" s="400"/>
      <c r="L20" s="400"/>
      <c r="M20" s="170">
        <v>189981.17</v>
      </c>
      <c r="N20" s="400"/>
      <c r="O20" s="400"/>
      <c r="P20" s="393">
        <f t="shared" si="1"/>
        <v>68.030540862386886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35" s="4" customFormat="1">
      <c r="A21" s="115">
        <v>700</v>
      </c>
      <c r="B21" s="113"/>
      <c r="C21" s="420" t="s">
        <v>27</v>
      </c>
      <c r="D21" s="418">
        <f>D22</f>
        <v>229027</v>
      </c>
      <c r="E21" s="418">
        <f t="shared" ref="E21:M21" si="4">E22</f>
        <v>210550.13</v>
      </c>
      <c r="F21" s="418">
        <f t="shared" si="4"/>
        <v>210550.13</v>
      </c>
      <c r="G21" s="419">
        <f t="shared" si="4"/>
        <v>0</v>
      </c>
      <c r="H21" s="419">
        <f t="shared" si="4"/>
        <v>210550.13</v>
      </c>
      <c r="I21" s="419">
        <f t="shared" si="4"/>
        <v>0</v>
      </c>
      <c r="J21" s="419">
        <f t="shared" si="4"/>
        <v>0</v>
      </c>
      <c r="K21" s="419">
        <f t="shared" si="4"/>
        <v>0</v>
      </c>
      <c r="L21" s="419">
        <f t="shared" si="4"/>
        <v>0</v>
      </c>
      <c r="M21" s="418">
        <f t="shared" si="4"/>
        <v>0</v>
      </c>
      <c r="N21" s="419"/>
      <c r="O21" s="419"/>
      <c r="P21" s="417">
        <f t="shared" si="1"/>
        <v>91.932449012561833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1:35" ht="19.5">
      <c r="A22" s="149" t="s">
        <v>11</v>
      </c>
      <c r="B22" s="134">
        <v>70005</v>
      </c>
      <c r="C22" s="399" t="s">
        <v>68</v>
      </c>
      <c r="D22" s="170">
        <v>229027</v>
      </c>
      <c r="E22" s="170">
        <v>210550.13</v>
      </c>
      <c r="F22" s="170">
        <f>E22-M22</f>
        <v>210550.13</v>
      </c>
      <c r="G22" s="400">
        <v>0</v>
      </c>
      <c r="H22" s="400">
        <f>F22-G22</f>
        <v>210550.13</v>
      </c>
      <c r="I22" s="400">
        <v>0</v>
      </c>
      <c r="J22" s="400"/>
      <c r="K22" s="400"/>
      <c r="L22" s="400">
        <v>0</v>
      </c>
      <c r="M22" s="170">
        <v>0</v>
      </c>
      <c r="N22" s="400"/>
      <c r="O22" s="400"/>
      <c r="P22" s="393">
        <f t="shared" si="1"/>
        <v>91.932449012561833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35" s="4" customFormat="1">
      <c r="A23" s="115">
        <v>710</v>
      </c>
      <c r="B23" s="115"/>
      <c r="C23" s="420" t="s">
        <v>101</v>
      </c>
      <c r="D23" s="418">
        <f>D24+D25+D26</f>
        <v>415428.18</v>
      </c>
      <c r="E23" s="418">
        <f t="shared" ref="E23:M23" si="5">E24+E25+E26</f>
        <v>415270.57999999996</v>
      </c>
      <c r="F23" s="418">
        <f t="shared" si="5"/>
        <v>415270.57999999996</v>
      </c>
      <c r="G23" s="419">
        <f t="shared" si="5"/>
        <v>246654.87000000002</v>
      </c>
      <c r="H23" s="419">
        <f t="shared" si="5"/>
        <v>168615.70999999996</v>
      </c>
      <c r="I23" s="419">
        <f t="shared" si="5"/>
        <v>0</v>
      </c>
      <c r="J23" s="419">
        <f t="shared" si="5"/>
        <v>0</v>
      </c>
      <c r="K23" s="419">
        <f t="shared" si="5"/>
        <v>0</v>
      </c>
      <c r="L23" s="419">
        <f t="shared" si="5"/>
        <v>0</v>
      </c>
      <c r="M23" s="418">
        <f t="shared" si="5"/>
        <v>0</v>
      </c>
      <c r="N23" s="419"/>
      <c r="O23" s="419"/>
      <c r="P23" s="417">
        <f t="shared" si="1"/>
        <v>99.962063237982548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35">
      <c r="A24" s="484" t="s">
        <v>11</v>
      </c>
      <c r="B24" s="134">
        <v>71013</v>
      </c>
      <c r="C24" s="399" t="s">
        <v>102</v>
      </c>
      <c r="D24" s="170">
        <v>107000</v>
      </c>
      <c r="E24" s="170">
        <v>107000</v>
      </c>
      <c r="F24" s="170">
        <v>107000</v>
      </c>
      <c r="G24" s="400"/>
      <c r="H24" s="400">
        <v>107000</v>
      </c>
      <c r="I24" s="400"/>
      <c r="J24" s="400"/>
      <c r="K24" s="400"/>
      <c r="L24" s="400">
        <v>0</v>
      </c>
      <c r="M24" s="170">
        <v>0</v>
      </c>
      <c r="N24" s="400"/>
      <c r="O24" s="400"/>
      <c r="P24" s="393">
        <f t="shared" si="1"/>
        <v>100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5" ht="12.75" customHeight="1">
      <c r="A25" s="484"/>
      <c r="B25" s="134">
        <v>71014</v>
      </c>
      <c r="C25" s="394" t="s">
        <v>70</v>
      </c>
      <c r="D25" s="170">
        <v>22428.18</v>
      </c>
      <c r="E25" s="170">
        <v>22275.84</v>
      </c>
      <c r="F25" s="170">
        <v>22275.84</v>
      </c>
      <c r="G25" s="400"/>
      <c r="H25" s="400">
        <v>22275.84</v>
      </c>
      <c r="I25" s="400"/>
      <c r="J25" s="400"/>
      <c r="K25" s="400"/>
      <c r="L25" s="400">
        <v>0</v>
      </c>
      <c r="M25" s="170">
        <v>0</v>
      </c>
      <c r="N25" s="400"/>
      <c r="O25" s="400"/>
      <c r="P25" s="393">
        <f t="shared" si="1"/>
        <v>99.320765215902497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1:35" ht="15" customHeight="1">
      <c r="A26" s="484"/>
      <c r="B26" s="134">
        <v>71015</v>
      </c>
      <c r="C26" s="394" t="s">
        <v>71</v>
      </c>
      <c r="D26" s="170">
        <v>286000</v>
      </c>
      <c r="E26" s="170">
        <v>285994.74</v>
      </c>
      <c r="F26" s="170">
        <f>E26</f>
        <v>285994.74</v>
      </c>
      <c r="G26" s="400">
        <f>71224.8+124059.52+15360.54+32351.79+3658.22</f>
        <v>246654.87000000002</v>
      </c>
      <c r="H26" s="400">
        <f>F26-G26</f>
        <v>39339.869999999966</v>
      </c>
      <c r="I26" s="400"/>
      <c r="J26" s="400"/>
      <c r="K26" s="400"/>
      <c r="L26" s="400">
        <v>0</v>
      </c>
      <c r="M26" s="170">
        <v>0</v>
      </c>
      <c r="N26" s="400"/>
      <c r="O26" s="400"/>
      <c r="P26" s="393">
        <f t="shared" si="1"/>
        <v>99.998160839160832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35" s="4" customFormat="1">
      <c r="A27" s="115">
        <v>750</v>
      </c>
      <c r="B27" s="115"/>
      <c r="C27" s="414" t="s">
        <v>29</v>
      </c>
      <c r="D27" s="418">
        <f>D28+D31+D29+D30+D33+D32</f>
        <v>6813906.29</v>
      </c>
      <c r="E27" s="418">
        <f t="shared" ref="E27:N27" si="6">E28+E31+E29+E30+E33+E32</f>
        <v>6555659.2600000007</v>
      </c>
      <c r="F27" s="418">
        <f t="shared" si="6"/>
        <v>6234196.3100000005</v>
      </c>
      <c r="G27" s="419">
        <f t="shared" si="6"/>
        <v>3850850.2999999993</v>
      </c>
      <c r="H27" s="419">
        <f t="shared" si="6"/>
        <v>2149761.87</v>
      </c>
      <c r="I27" s="419">
        <f t="shared" si="6"/>
        <v>0</v>
      </c>
      <c r="J27" s="419">
        <f t="shared" si="6"/>
        <v>202340.19</v>
      </c>
      <c r="K27" s="419">
        <f t="shared" si="6"/>
        <v>31243.949999999997</v>
      </c>
      <c r="L27" s="419">
        <f t="shared" si="6"/>
        <v>0</v>
      </c>
      <c r="M27" s="418">
        <f t="shared" si="6"/>
        <v>321462.94999999995</v>
      </c>
      <c r="N27" s="419">
        <f t="shared" si="6"/>
        <v>321462.94999999995</v>
      </c>
      <c r="O27" s="419"/>
      <c r="P27" s="417">
        <f t="shared" si="1"/>
        <v>96.210000269903929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>
      <c r="A28" s="484" t="s">
        <v>11</v>
      </c>
      <c r="B28" s="134">
        <v>75011</v>
      </c>
      <c r="C28" s="394" t="s">
        <v>73</v>
      </c>
      <c r="D28" s="170">
        <v>105200</v>
      </c>
      <c r="E28" s="170">
        <v>105200</v>
      </c>
      <c r="F28" s="170">
        <f>E28</f>
        <v>105200</v>
      </c>
      <c r="G28" s="400">
        <f>F28</f>
        <v>105200</v>
      </c>
      <c r="H28" s="400">
        <v>0</v>
      </c>
      <c r="I28" s="400">
        <v>0</v>
      </c>
      <c r="J28" s="400"/>
      <c r="K28" s="400"/>
      <c r="L28" s="400">
        <v>0</v>
      </c>
      <c r="M28" s="170">
        <v>0</v>
      </c>
      <c r="N28" s="400"/>
      <c r="O28" s="400"/>
      <c r="P28" s="393">
        <f t="shared" si="1"/>
        <v>100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1:35">
      <c r="A29" s="484"/>
      <c r="B29" s="134">
        <v>75019</v>
      </c>
      <c r="C29" s="394" t="s">
        <v>103</v>
      </c>
      <c r="D29" s="170">
        <v>209598.61</v>
      </c>
      <c r="E29" s="170">
        <v>208970.99</v>
      </c>
      <c r="F29" s="170">
        <f>E29</f>
        <v>208970.99</v>
      </c>
      <c r="G29" s="400">
        <v>0</v>
      </c>
      <c r="H29" s="400">
        <f>F29-J29-G29</f>
        <v>14698.569999999978</v>
      </c>
      <c r="I29" s="400">
        <v>0</v>
      </c>
      <c r="J29" s="400">
        <v>194272.42</v>
      </c>
      <c r="K29" s="400"/>
      <c r="L29" s="400">
        <v>0</v>
      </c>
      <c r="M29" s="170">
        <v>0</v>
      </c>
      <c r="N29" s="400"/>
      <c r="O29" s="400"/>
      <c r="P29" s="393">
        <f t="shared" si="1"/>
        <v>99.70056099131574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1:35">
      <c r="A30" s="484"/>
      <c r="B30" s="175">
        <v>75020</v>
      </c>
      <c r="C30" s="395" t="s">
        <v>74</v>
      </c>
      <c r="D30" s="170">
        <v>5951000.3799999999</v>
      </c>
      <c r="E30" s="170">
        <v>5774619.0099999998</v>
      </c>
      <c r="F30" s="170">
        <f>E30-M30</f>
        <v>5453156.0599999996</v>
      </c>
      <c r="G30" s="401">
        <f>2954403.71+204881.88+432249.48+57386.76+72144.42</f>
        <v>3721066.2499999995</v>
      </c>
      <c r="H30" s="400">
        <f>F30-G30-J30</f>
        <v>1724022.04</v>
      </c>
      <c r="I30" s="400">
        <v>0</v>
      </c>
      <c r="J30" s="400">
        <v>8067.77</v>
      </c>
      <c r="K30" s="400"/>
      <c r="L30" s="400">
        <v>0</v>
      </c>
      <c r="M30" s="170">
        <f>16863.04+304599.91</f>
        <v>321462.94999999995</v>
      </c>
      <c r="N30" s="400">
        <f>304599.91+16863.04</f>
        <v>321462.94999999995</v>
      </c>
      <c r="O30" s="400"/>
      <c r="P30" s="393">
        <f t="shared" si="1"/>
        <v>97.036105549702555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1:35">
      <c r="A31" s="484"/>
      <c r="B31" s="134">
        <v>75045</v>
      </c>
      <c r="C31" s="394" t="s">
        <v>287</v>
      </c>
      <c r="D31" s="170">
        <v>18806</v>
      </c>
      <c r="E31" s="170">
        <v>18805.66</v>
      </c>
      <c r="F31" s="170">
        <v>18805.66</v>
      </c>
      <c r="G31" s="401">
        <f>483.06+51.96+14090</f>
        <v>14625.02</v>
      </c>
      <c r="H31" s="400">
        <f>F31-G31-J31</f>
        <v>4180.6399999999994</v>
      </c>
      <c r="I31" s="400">
        <v>0</v>
      </c>
      <c r="J31" s="400">
        <v>0</v>
      </c>
      <c r="K31" s="400"/>
      <c r="L31" s="400">
        <v>0</v>
      </c>
      <c r="M31" s="170">
        <v>0</v>
      </c>
      <c r="N31" s="400"/>
      <c r="O31" s="400"/>
      <c r="P31" s="393">
        <f t="shared" si="1"/>
        <v>99.998192066361796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1:35" ht="18.75" customHeight="1">
      <c r="A32" s="484"/>
      <c r="B32" s="134">
        <v>75075</v>
      </c>
      <c r="C32" s="394" t="s">
        <v>140</v>
      </c>
      <c r="D32" s="170">
        <v>223000</v>
      </c>
      <c r="E32" s="170">
        <v>197438.66</v>
      </c>
      <c r="F32" s="170">
        <f>E32</f>
        <v>197438.66</v>
      </c>
      <c r="G32" s="400">
        <f>240+38.71+9680.32</f>
        <v>9959.0299999999988</v>
      </c>
      <c r="H32" s="400">
        <f>F32-G32-K32</f>
        <v>156235.68</v>
      </c>
      <c r="I32" s="400">
        <v>0</v>
      </c>
      <c r="J32" s="400"/>
      <c r="K32" s="400">
        <f>123.96+21.87+19.99+3.53+2176+384+1934.86+341.44+22302.56+3935.74</f>
        <v>31243.949999999997</v>
      </c>
      <c r="L32" s="400">
        <v>0</v>
      </c>
      <c r="M32" s="170"/>
      <c r="N32" s="400"/>
      <c r="O32" s="400"/>
      <c r="P32" s="393">
        <f t="shared" si="1"/>
        <v>88.53751569506727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1:35">
      <c r="A33" s="484"/>
      <c r="B33" s="134">
        <v>75095</v>
      </c>
      <c r="C33" s="394" t="s">
        <v>72</v>
      </c>
      <c r="D33" s="170">
        <v>306301.3</v>
      </c>
      <c r="E33" s="170">
        <v>250624.94</v>
      </c>
      <c r="F33" s="170">
        <f>E33</f>
        <v>250624.94</v>
      </c>
      <c r="G33" s="400"/>
      <c r="H33" s="400">
        <f>F33</f>
        <v>250624.94</v>
      </c>
      <c r="I33" s="400"/>
      <c r="J33" s="400"/>
      <c r="K33" s="400"/>
      <c r="L33" s="400"/>
      <c r="M33" s="170">
        <v>0</v>
      </c>
      <c r="N33" s="400"/>
      <c r="O33" s="400"/>
      <c r="P33" s="393">
        <f t="shared" si="1"/>
        <v>81.82300891311921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1:35" s="4" customFormat="1" ht="24" customHeight="1">
      <c r="A34" s="115">
        <v>754</v>
      </c>
      <c r="B34" s="115"/>
      <c r="C34" s="414" t="s">
        <v>30</v>
      </c>
      <c r="D34" s="418">
        <f>D37+D38+D36+D35</f>
        <v>3279843</v>
      </c>
      <c r="E34" s="418">
        <f t="shared" ref="E34:M34" si="7">E37+E38+E36+E35</f>
        <v>3172793.71</v>
      </c>
      <c r="F34" s="418">
        <f t="shared" si="7"/>
        <v>3172793.71</v>
      </c>
      <c r="G34" s="419">
        <f t="shared" si="7"/>
        <v>2450204.3799999994</v>
      </c>
      <c r="H34" s="419">
        <f t="shared" si="7"/>
        <v>530694.1400000006</v>
      </c>
      <c r="I34" s="419">
        <f t="shared" si="7"/>
        <v>19999.96</v>
      </c>
      <c r="J34" s="419">
        <f t="shared" si="7"/>
        <v>171895.23</v>
      </c>
      <c r="K34" s="419">
        <f t="shared" si="7"/>
        <v>0</v>
      </c>
      <c r="L34" s="419">
        <f t="shared" si="7"/>
        <v>0</v>
      </c>
      <c r="M34" s="418">
        <f t="shared" si="7"/>
        <v>0</v>
      </c>
      <c r="N34" s="419"/>
      <c r="O34" s="419"/>
      <c r="P34" s="417">
        <f t="shared" si="1"/>
        <v>96.736145906983964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s="5" customFormat="1" ht="12.75" customHeight="1">
      <c r="A35" s="476"/>
      <c r="B35" s="253">
        <v>75405</v>
      </c>
      <c r="C35" s="394" t="s">
        <v>351</v>
      </c>
      <c r="D35" s="170">
        <v>15000</v>
      </c>
      <c r="E35" s="170">
        <v>15000</v>
      </c>
      <c r="F35" s="170">
        <f>E35-M35</f>
        <v>15000</v>
      </c>
      <c r="G35" s="400"/>
      <c r="H35" s="400"/>
      <c r="I35" s="400">
        <v>15000</v>
      </c>
      <c r="J35" s="400"/>
      <c r="K35" s="400"/>
      <c r="L35" s="400"/>
      <c r="M35" s="170">
        <v>0</v>
      </c>
      <c r="N35" s="400"/>
      <c r="O35" s="400"/>
      <c r="P35" s="393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s="4" customFormat="1">
      <c r="A36" s="477"/>
      <c r="B36" s="139">
        <v>75406</v>
      </c>
      <c r="C36" s="396" t="s">
        <v>196</v>
      </c>
      <c r="D36" s="172">
        <v>5000</v>
      </c>
      <c r="E36" s="172">
        <v>4999.96</v>
      </c>
      <c r="F36" s="172">
        <v>4999.96</v>
      </c>
      <c r="G36" s="400"/>
      <c r="H36" s="400"/>
      <c r="I36" s="400">
        <v>4999.96</v>
      </c>
      <c r="J36" s="400"/>
      <c r="K36" s="400"/>
      <c r="L36" s="400"/>
      <c r="M36" s="172"/>
      <c r="N36" s="400"/>
      <c r="O36" s="400"/>
      <c r="P36" s="393">
        <f t="shared" si="1"/>
        <v>99.999200000000002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1:35" ht="19.5">
      <c r="A37" s="477"/>
      <c r="B37" s="134">
        <v>75411</v>
      </c>
      <c r="C37" s="394" t="s">
        <v>106</v>
      </c>
      <c r="D37" s="170">
        <v>3130943</v>
      </c>
      <c r="E37" s="170">
        <v>3130933.21</v>
      </c>
      <c r="F37" s="170">
        <f>E37-M37</f>
        <v>3130933.21</v>
      </c>
      <c r="G37" s="400">
        <f>67670+5524.7+1913102+289963.56+150901.25+12763.82+1963.05+8316</f>
        <v>2450204.3799999994</v>
      </c>
      <c r="H37" s="400">
        <f>F37-G37-J37</f>
        <v>508833.60000000056</v>
      </c>
      <c r="I37" s="400"/>
      <c r="J37" s="400">
        <v>171895.23</v>
      </c>
      <c r="K37" s="400"/>
      <c r="L37" s="400">
        <v>0</v>
      </c>
      <c r="M37" s="170">
        <v>0</v>
      </c>
      <c r="N37" s="400"/>
      <c r="O37" s="400"/>
      <c r="P37" s="393">
        <f t="shared" si="1"/>
        <v>99.99968731465249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:35">
      <c r="A38" s="477"/>
      <c r="B38" s="134">
        <v>75421</v>
      </c>
      <c r="C38" s="394" t="s">
        <v>163</v>
      </c>
      <c r="D38" s="170">
        <v>128900</v>
      </c>
      <c r="E38" s="170">
        <v>21860.54</v>
      </c>
      <c r="F38" s="170">
        <v>21860.54</v>
      </c>
      <c r="G38" s="400"/>
      <c r="H38" s="400">
        <f>F38</f>
        <v>21860.54</v>
      </c>
      <c r="I38" s="400"/>
      <c r="J38" s="400"/>
      <c r="K38" s="400"/>
      <c r="L38" s="400">
        <v>0</v>
      </c>
      <c r="M38" s="170">
        <v>0</v>
      </c>
      <c r="N38" s="400"/>
      <c r="O38" s="400"/>
      <c r="P38" s="393">
        <f t="shared" si="1"/>
        <v>16.959301784328936</v>
      </c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s="4" customFormat="1">
      <c r="A39" s="115">
        <v>757</v>
      </c>
      <c r="B39" s="115"/>
      <c r="C39" s="414" t="s">
        <v>107</v>
      </c>
      <c r="D39" s="418">
        <f>D40</f>
        <v>943000</v>
      </c>
      <c r="E39" s="418">
        <f>E40</f>
        <v>917930.66</v>
      </c>
      <c r="F39" s="418">
        <f>F40</f>
        <v>917930.66</v>
      </c>
      <c r="G39" s="421">
        <v>0</v>
      </c>
      <c r="H39" s="421">
        <v>0</v>
      </c>
      <c r="I39" s="421">
        <v>0</v>
      </c>
      <c r="J39" s="421"/>
      <c r="K39" s="421"/>
      <c r="L39" s="419">
        <f>L40</f>
        <v>917930.66</v>
      </c>
      <c r="M39" s="422">
        <v>0</v>
      </c>
      <c r="N39" s="421"/>
      <c r="O39" s="421"/>
      <c r="P39" s="417">
        <f t="shared" si="1"/>
        <v>97.341533404029704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ht="23.25" customHeight="1">
      <c r="A40" s="134"/>
      <c r="B40" s="134">
        <v>75702</v>
      </c>
      <c r="C40" s="394" t="s">
        <v>143</v>
      </c>
      <c r="D40" s="170">
        <v>943000</v>
      </c>
      <c r="E40" s="170">
        <v>917930.66</v>
      </c>
      <c r="F40" s="170">
        <f>E40</f>
        <v>917930.66</v>
      </c>
      <c r="G40" s="400">
        <v>0</v>
      </c>
      <c r="H40" s="400">
        <v>0</v>
      </c>
      <c r="I40" s="400">
        <v>0</v>
      </c>
      <c r="J40" s="400"/>
      <c r="K40" s="400"/>
      <c r="L40" s="400">
        <f>E40</f>
        <v>917930.66</v>
      </c>
      <c r="M40" s="170">
        <v>0</v>
      </c>
      <c r="N40" s="400"/>
      <c r="O40" s="400"/>
      <c r="P40" s="393">
        <f t="shared" si="1"/>
        <v>97.341533404029704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s="41" customFormat="1">
      <c r="A41" s="115">
        <v>758</v>
      </c>
      <c r="B41" s="115"/>
      <c r="C41" s="414" t="s">
        <v>31</v>
      </c>
      <c r="D41" s="418">
        <f>D42</f>
        <v>11957.14</v>
      </c>
      <c r="E41" s="418"/>
      <c r="F41" s="418"/>
      <c r="G41" s="419"/>
      <c r="H41" s="419"/>
      <c r="I41" s="419"/>
      <c r="J41" s="419"/>
      <c r="K41" s="419"/>
      <c r="L41" s="419"/>
      <c r="M41" s="418"/>
      <c r="N41" s="419"/>
      <c r="O41" s="419"/>
      <c r="P41" s="423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>
      <c r="A42" s="349"/>
      <c r="B42" s="349">
        <v>75818</v>
      </c>
      <c r="C42" s="394" t="s">
        <v>389</v>
      </c>
      <c r="D42" s="170">
        <v>11957.14</v>
      </c>
      <c r="E42" s="170">
        <v>0</v>
      </c>
      <c r="F42" s="170"/>
      <c r="G42" s="400"/>
      <c r="H42" s="400"/>
      <c r="I42" s="400"/>
      <c r="J42" s="400"/>
      <c r="K42" s="400"/>
      <c r="L42" s="400"/>
      <c r="M42" s="170"/>
      <c r="N42" s="400"/>
      <c r="O42" s="400"/>
      <c r="P42" s="393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1:35" s="4" customFormat="1">
      <c r="A43" s="115">
        <v>801</v>
      </c>
      <c r="B43" s="115"/>
      <c r="C43" s="414" t="s">
        <v>52</v>
      </c>
      <c r="D43" s="418">
        <f>SUM(D44:D53)</f>
        <v>15883555.969999999</v>
      </c>
      <c r="E43" s="418">
        <f t="shared" ref="E43:O43" si="8">SUM(E44:E53)</f>
        <v>15682257.549999999</v>
      </c>
      <c r="F43" s="418">
        <f t="shared" si="8"/>
        <v>14376070.799999999</v>
      </c>
      <c r="G43" s="419">
        <f t="shared" si="8"/>
        <v>10117882.48</v>
      </c>
      <c r="H43" s="419">
        <f t="shared" si="8"/>
        <v>2416626.7299999995</v>
      </c>
      <c r="I43" s="419">
        <f t="shared" si="8"/>
        <v>1661350.4900000002</v>
      </c>
      <c r="J43" s="419">
        <f t="shared" si="8"/>
        <v>180211.1</v>
      </c>
      <c r="K43" s="419">
        <f t="shared" si="8"/>
        <v>0</v>
      </c>
      <c r="L43" s="419">
        <f t="shared" si="8"/>
        <v>0</v>
      </c>
      <c r="M43" s="418">
        <f t="shared" si="8"/>
        <v>1306186.75</v>
      </c>
      <c r="N43" s="419">
        <f t="shared" si="8"/>
        <v>541906.28</v>
      </c>
      <c r="O43" s="419">
        <f t="shared" si="8"/>
        <v>764280.47</v>
      </c>
      <c r="P43" s="417">
        <f t="shared" si="1"/>
        <v>98.732661499854302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>
      <c r="A44" s="476"/>
      <c r="B44" s="134">
        <v>80102</v>
      </c>
      <c r="C44" s="394" t="s">
        <v>39</v>
      </c>
      <c r="D44" s="170">
        <v>1479900.34</v>
      </c>
      <c r="E44" s="170">
        <v>1479899.07</v>
      </c>
      <c r="F44" s="170">
        <f>E44-M44</f>
        <v>1240468.8500000001</v>
      </c>
      <c r="G44" s="401">
        <f>820193.26+49600.02+122933.39+19264.37+4156.6</f>
        <v>1016147.64</v>
      </c>
      <c r="H44" s="400">
        <f>F44-G44-J44</f>
        <v>221571.21000000008</v>
      </c>
      <c r="I44" s="400"/>
      <c r="J44" s="400">
        <v>2750</v>
      </c>
      <c r="K44" s="400"/>
      <c r="L44" s="400">
        <v>0</v>
      </c>
      <c r="M44" s="170">
        <v>239430.22</v>
      </c>
      <c r="N44" s="400">
        <f>M44</f>
        <v>239430.22</v>
      </c>
      <c r="O44" s="400"/>
      <c r="P44" s="393">
        <f t="shared" si="1"/>
        <v>99.999914183410482</v>
      </c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35">
      <c r="A45" s="477"/>
      <c r="B45" s="134">
        <v>80111</v>
      </c>
      <c r="C45" s="394" t="s">
        <v>109</v>
      </c>
      <c r="D45" s="170">
        <v>1564373.54</v>
      </c>
      <c r="E45" s="170">
        <v>1561867.63</v>
      </c>
      <c r="F45" s="170">
        <f>E45-M45</f>
        <v>1196603.3699999999</v>
      </c>
      <c r="G45" s="401">
        <f>866237.52+63827+147782+19775</f>
        <v>1097621.52</v>
      </c>
      <c r="H45" s="400">
        <f>F45-G45-J45</f>
        <v>62274.84999999986</v>
      </c>
      <c r="I45" s="400"/>
      <c r="J45" s="400">
        <v>36707</v>
      </c>
      <c r="K45" s="400"/>
      <c r="L45" s="400">
        <v>0</v>
      </c>
      <c r="M45" s="170">
        <f>108600.37+162900.56+93763.33</f>
        <v>365264.26</v>
      </c>
      <c r="N45" s="400">
        <v>93763.33</v>
      </c>
      <c r="O45" s="400">
        <f>162900.56+108600.37</f>
        <v>271500.93</v>
      </c>
      <c r="P45" s="393">
        <f t="shared" si="1"/>
        <v>99.839813833721564</v>
      </c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>
      <c r="A46" s="477"/>
      <c r="B46" s="134">
        <v>80120</v>
      </c>
      <c r="C46" s="394" t="s">
        <v>45</v>
      </c>
      <c r="D46" s="170">
        <v>5569842.3099999996</v>
      </c>
      <c r="E46" s="170">
        <v>5556101.0199999996</v>
      </c>
      <c r="F46" s="170">
        <f>E46-M46</f>
        <v>5308464.1399999997</v>
      </c>
      <c r="G46" s="400">
        <f>2691892.15+203142+436980.04+62458.66+38165.58</f>
        <v>3432638.43</v>
      </c>
      <c r="H46" s="400">
        <f>F46-G46-I46-J46</f>
        <v>869545.1099999994</v>
      </c>
      <c r="I46" s="400">
        <v>921110.67</v>
      </c>
      <c r="J46" s="400">
        <v>85169.93</v>
      </c>
      <c r="K46" s="400"/>
      <c r="L46" s="400">
        <v>0</v>
      </c>
      <c r="M46" s="170">
        <f>61500+81822.02+77511.81+26803.05</f>
        <v>247636.88</v>
      </c>
      <c r="N46" s="400">
        <f>26803.05+61500</f>
        <v>88303.05</v>
      </c>
      <c r="O46" s="400">
        <f>77511.81+81822.02</f>
        <v>159333.83000000002</v>
      </c>
      <c r="P46" s="393">
        <f t="shared" si="1"/>
        <v>99.753291220196132</v>
      </c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</row>
    <row r="47" spans="1:35">
      <c r="A47" s="477"/>
      <c r="B47" s="134">
        <v>80123</v>
      </c>
      <c r="C47" s="394" t="s">
        <v>40</v>
      </c>
      <c r="D47" s="171">
        <v>217543.2</v>
      </c>
      <c r="E47" s="171">
        <v>202934.26</v>
      </c>
      <c r="F47" s="171">
        <f>E47</f>
        <v>202934.26</v>
      </c>
      <c r="G47" s="401">
        <f>F47-I47</f>
        <v>0</v>
      </c>
      <c r="H47" s="400"/>
      <c r="I47" s="400">
        <v>202934.26</v>
      </c>
      <c r="J47" s="400"/>
      <c r="K47" s="400"/>
      <c r="L47" s="400">
        <v>0</v>
      </c>
      <c r="M47" s="170">
        <v>0</v>
      </c>
      <c r="N47" s="400"/>
      <c r="O47" s="400"/>
      <c r="P47" s="393">
        <f t="shared" si="1"/>
        <v>93.284579798403257</v>
      </c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spans="1:35">
      <c r="A48" s="477"/>
      <c r="B48" s="134">
        <v>80130</v>
      </c>
      <c r="C48" s="394" t="s">
        <v>41</v>
      </c>
      <c r="D48" s="171">
        <v>6107319.7000000002</v>
      </c>
      <c r="E48" s="171">
        <v>6054548.9000000004</v>
      </c>
      <c r="F48" s="171">
        <f>E48-M48</f>
        <v>5600693.5100000007</v>
      </c>
      <c r="G48" s="401">
        <f>3450881.85+243770.99+547931.98+79008.44+11688.55</f>
        <v>4333281.8100000005</v>
      </c>
      <c r="H48" s="400">
        <f>F48-G48-I48-J48</f>
        <v>836065.45000000019</v>
      </c>
      <c r="I48" s="400">
        <v>384577.06</v>
      </c>
      <c r="J48" s="400">
        <f>44189.19+2580</f>
        <v>46769.19</v>
      </c>
      <c r="K48" s="400"/>
      <c r="L48" s="400">
        <v>0</v>
      </c>
      <c r="M48" s="170">
        <f>171033.06+162412.65+120409.68</f>
        <v>453855.38999999996</v>
      </c>
      <c r="N48" s="400">
        <v>120409.68</v>
      </c>
      <c r="O48" s="400">
        <f>162412.65+171033.06</f>
        <v>333445.70999999996</v>
      </c>
      <c r="P48" s="393">
        <f t="shared" si="1"/>
        <v>99.135941745443589</v>
      </c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</row>
    <row r="49" spans="1:35" ht="19.5">
      <c r="A49" s="477"/>
      <c r="B49" s="134">
        <v>80140</v>
      </c>
      <c r="C49" s="394" t="s">
        <v>167</v>
      </c>
      <c r="D49" s="171">
        <v>270301</v>
      </c>
      <c r="E49" s="171">
        <v>270297.74</v>
      </c>
      <c r="F49" s="171">
        <f>E49</f>
        <v>270297.74</v>
      </c>
      <c r="G49" s="401">
        <f>52919.37+2848.63+13272.04+2140.65+29217</f>
        <v>100397.69</v>
      </c>
      <c r="H49" s="400">
        <f>F49-G49-J49</f>
        <v>169635.06999999998</v>
      </c>
      <c r="I49" s="400"/>
      <c r="J49" s="400">
        <v>264.98</v>
      </c>
      <c r="K49" s="400"/>
      <c r="L49" s="400">
        <v>0</v>
      </c>
      <c r="M49" s="170">
        <v>0</v>
      </c>
      <c r="N49" s="400"/>
      <c r="O49" s="400"/>
      <c r="P49" s="393">
        <f t="shared" si="1"/>
        <v>99.998793937129349</v>
      </c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pans="1:35" ht="19.5">
      <c r="A50" s="477"/>
      <c r="B50" s="134">
        <v>80144</v>
      </c>
      <c r="C50" s="394" t="s">
        <v>197</v>
      </c>
      <c r="D50" s="171">
        <v>281432.42</v>
      </c>
      <c r="E50" s="171">
        <v>182795.89</v>
      </c>
      <c r="F50" s="171">
        <f>E50</f>
        <v>182795.89</v>
      </c>
      <c r="G50" s="401">
        <f>24254.19+2255.09+327.11</f>
        <v>26836.39</v>
      </c>
      <c r="H50" s="400">
        <f>F50-G50-I50</f>
        <v>3231</v>
      </c>
      <c r="I50" s="400">
        <v>152728.5</v>
      </c>
      <c r="J50" s="400"/>
      <c r="K50" s="400"/>
      <c r="L50" s="400"/>
      <c r="M50" s="170"/>
      <c r="N50" s="400"/>
      <c r="O50" s="400"/>
      <c r="P50" s="393">
        <f t="shared" si="1"/>
        <v>64.951966088341933</v>
      </c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1:35" ht="12.75" customHeight="1">
      <c r="A51" s="477"/>
      <c r="B51" s="134">
        <v>80146</v>
      </c>
      <c r="C51" s="394" t="s">
        <v>82</v>
      </c>
      <c r="D51" s="170">
        <v>66202.02</v>
      </c>
      <c r="E51" s="170">
        <v>47238.04</v>
      </c>
      <c r="F51" s="170">
        <f>E51</f>
        <v>47238.04</v>
      </c>
      <c r="G51" s="400"/>
      <c r="H51" s="400">
        <f>F51-J51</f>
        <v>38688.04</v>
      </c>
      <c r="I51" s="400"/>
      <c r="J51" s="400">
        <v>8550</v>
      </c>
      <c r="K51" s="400"/>
      <c r="L51" s="400">
        <v>0</v>
      </c>
      <c r="M51" s="170">
        <v>0</v>
      </c>
      <c r="N51" s="400"/>
      <c r="O51" s="400"/>
      <c r="P51" s="393">
        <f t="shared" si="1"/>
        <v>71.354378612616358</v>
      </c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1:35" ht="12.75" customHeight="1">
      <c r="A52" s="477"/>
      <c r="B52" s="134">
        <v>80148</v>
      </c>
      <c r="C52" s="394" t="s">
        <v>168</v>
      </c>
      <c r="D52" s="170">
        <v>323744</v>
      </c>
      <c r="E52" s="170">
        <v>323744</v>
      </c>
      <c r="F52" s="170">
        <f>E52</f>
        <v>323744</v>
      </c>
      <c r="G52" s="400">
        <f>86883+6894+13519+1503</f>
        <v>108799</v>
      </c>
      <c r="H52" s="400">
        <f>F52-G52</f>
        <v>214945</v>
      </c>
      <c r="I52" s="400"/>
      <c r="J52" s="400"/>
      <c r="K52" s="400"/>
      <c r="L52" s="400">
        <v>0</v>
      </c>
      <c r="M52" s="170">
        <v>0</v>
      </c>
      <c r="N52" s="400"/>
      <c r="O52" s="400"/>
      <c r="P52" s="393">
        <f t="shared" si="1"/>
        <v>100</v>
      </c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pans="1:35" ht="12.75" customHeight="1">
      <c r="A53" s="478"/>
      <c r="B53" s="134">
        <v>80195</v>
      </c>
      <c r="C53" s="394" t="s">
        <v>72</v>
      </c>
      <c r="D53" s="170">
        <v>2897.44</v>
      </c>
      <c r="E53" s="170">
        <v>2831</v>
      </c>
      <c r="F53" s="170">
        <f>E53</f>
        <v>2831</v>
      </c>
      <c r="G53" s="400">
        <v>2160</v>
      </c>
      <c r="H53" s="400">
        <v>671</v>
      </c>
      <c r="I53" s="400"/>
      <c r="J53" s="400"/>
      <c r="K53" s="400"/>
      <c r="L53" s="400"/>
      <c r="M53" s="170"/>
      <c r="N53" s="400"/>
      <c r="O53" s="400"/>
      <c r="P53" s="393">
        <f t="shared" si="1"/>
        <v>97.70694129990612</v>
      </c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</row>
    <row r="54" spans="1:35" s="4" customFormat="1" ht="13.5" customHeight="1">
      <c r="A54" s="115">
        <v>851</v>
      </c>
      <c r="B54" s="115"/>
      <c r="C54" s="414" t="s">
        <v>32</v>
      </c>
      <c r="D54" s="418">
        <f>D55+D58+D59+D56+D57</f>
        <v>5928992.1200000001</v>
      </c>
      <c r="E54" s="418">
        <f t="shared" ref="E54:O54" si="9">E55+E58+E59+E56+E57</f>
        <v>5907257.4399999995</v>
      </c>
      <c r="F54" s="418">
        <f t="shared" si="9"/>
        <v>3146502.8000000003</v>
      </c>
      <c r="G54" s="419">
        <f t="shared" si="9"/>
        <v>1485.29</v>
      </c>
      <c r="H54" s="419">
        <f t="shared" si="9"/>
        <v>3145017.5100000002</v>
      </c>
      <c r="I54" s="419">
        <f t="shared" si="9"/>
        <v>0</v>
      </c>
      <c r="J54" s="419">
        <f t="shared" si="9"/>
        <v>0</v>
      </c>
      <c r="K54" s="419">
        <f t="shared" si="9"/>
        <v>0</v>
      </c>
      <c r="L54" s="419">
        <f t="shared" si="9"/>
        <v>0</v>
      </c>
      <c r="M54" s="418">
        <f t="shared" si="9"/>
        <v>2760754.64</v>
      </c>
      <c r="N54" s="419">
        <f t="shared" si="9"/>
        <v>2585754.64</v>
      </c>
      <c r="O54" s="419">
        <f t="shared" si="9"/>
        <v>0</v>
      </c>
      <c r="P54" s="417">
        <f t="shared" si="1"/>
        <v>99.633416952492084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</row>
    <row r="55" spans="1:35" s="4" customFormat="1" ht="13.5" customHeight="1">
      <c r="A55" s="534"/>
      <c r="B55" s="139">
        <v>85111</v>
      </c>
      <c r="C55" s="396" t="s">
        <v>83</v>
      </c>
      <c r="D55" s="172">
        <v>3496923.15</v>
      </c>
      <c r="E55" s="172">
        <v>3475404.31</v>
      </c>
      <c r="F55" s="170">
        <f>E55-M55</f>
        <v>719649.66999999993</v>
      </c>
      <c r="G55" s="400">
        <v>0</v>
      </c>
      <c r="H55" s="400">
        <f>F55-I55</f>
        <v>719649.66999999993</v>
      </c>
      <c r="I55" s="400">
        <v>0</v>
      </c>
      <c r="J55" s="400"/>
      <c r="K55" s="400"/>
      <c r="L55" s="400">
        <v>0</v>
      </c>
      <c r="M55" s="172">
        <f>2585754.64+170000</f>
        <v>2755754.64</v>
      </c>
      <c r="N55" s="400">
        <v>2585754.64</v>
      </c>
      <c r="O55" s="400"/>
      <c r="P55" s="393">
        <f t="shared" si="1"/>
        <v>99.384635032657215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</row>
    <row r="56" spans="1:35" s="4" customFormat="1" ht="13.5" customHeight="1">
      <c r="A56" s="528"/>
      <c r="B56" s="139">
        <v>85132</v>
      </c>
      <c r="C56" s="396" t="s">
        <v>359</v>
      </c>
      <c r="D56" s="172">
        <v>4500</v>
      </c>
      <c r="E56" s="172">
        <v>4497.72</v>
      </c>
      <c r="F56" s="170">
        <v>4497.72</v>
      </c>
      <c r="G56" s="400"/>
      <c r="H56" s="400">
        <f>F56</f>
        <v>4497.72</v>
      </c>
      <c r="I56" s="400"/>
      <c r="J56" s="400"/>
      <c r="K56" s="400"/>
      <c r="L56" s="400"/>
      <c r="M56" s="172"/>
      <c r="N56" s="400"/>
      <c r="O56" s="400"/>
      <c r="P56" s="393">
        <f t="shared" si="1"/>
        <v>99.949333333333328</v>
      </c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</row>
    <row r="57" spans="1:35" s="4" customFormat="1" ht="13.5" customHeight="1">
      <c r="A57" s="528"/>
      <c r="B57" s="139">
        <v>85141</v>
      </c>
      <c r="C57" s="396" t="s">
        <v>388</v>
      </c>
      <c r="D57" s="172">
        <v>5000</v>
      </c>
      <c r="E57" s="172">
        <v>5000</v>
      </c>
      <c r="F57" s="170"/>
      <c r="G57" s="400"/>
      <c r="H57" s="400"/>
      <c r="I57" s="400"/>
      <c r="J57" s="400"/>
      <c r="K57" s="400"/>
      <c r="L57" s="400"/>
      <c r="M57" s="172">
        <v>5000</v>
      </c>
      <c r="N57" s="400"/>
      <c r="O57" s="400"/>
      <c r="P57" s="393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</row>
    <row r="58" spans="1:35" ht="39">
      <c r="A58" s="528"/>
      <c r="B58" s="134">
        <v>85156</v>
      </c>
      <c r="C58" s="398" t="s">
        <v>85</v>
      </c>
      <c r="D58" s="170">
        <v>2421083.6800000002</v>
      </c>
      <c r="E58" s="170">
        <v>2420870.12</v>
      </c>
      <c r="F58" s="170">
        <f>E58</f>
        <v>2420870.12</v>
      </c>
      <c r="G58" s="400">
        <v>0</v>
      </c>
      <c r="H58" s="400">
        <f>F58</f>
        <v>2420870.12</v>
      </c>
      <c r="I58" s="400">
        <v>0</v>
      </c>
      <c r="J58" s="400"/>
      <c r="K58" s="400"/>
      <c r="L58" s="400">
        <v>0</v>
      </c>
      <c r="M58" s="170">
        <v>0</v>
      </c>
      <c r="N58" s="400"/>
      <c r="O58" s="400"/>
      <c r="P58" s="393">
        <f t="shared" si="1"/>
        <v>99.991179156599813</v>
      </c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</row>
    <row r="59" spans="1:35">
      <c r="A59" s="529"/>
      <c r="B59" s="161">
        <v>85195</v>
      </c>
      <c r="C59" s="394" t="s">
        <v>72</v>
      </c>
      <c r="D59" s="170">
        <v>1485.29</v>
      </c>
      <c r="E59" s="170">
        <v>1485.29</v>
      </c>
      <c r="F59" s="170">
        <v>1485.29</v>
      </c>
      <c r="G59" s="400">
        <f>F59</f>
        <v>1485.29</v>
      </c>
      <c r="H59" s="400"/>
      <c r="I59" s="400"/>
      <c r="J59" s="400"/>
      <c r="K59" s="400"/>
      <c r="L59" s="400"/>
      <c r="M59" s="170"/>
      <c r="N59" s="400"/>
      <c r="O59" s="400"/>
      <c r="P59" s="393">
        <f t="shared" si="1"/>
        <v>100</v>
      </c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</row>
    <row r="60" spans="1:35" s="4" customFormat="1">
      <c r="A60" s="115">
        <v>852</v>
      </c>
      <c r="B60" s="115"/>
      <c r="C60" s="414" t="s">
        <v>33</v>
      </c>
      <c r="D60" s="418">
        <f>SUM(D61:D69)</f>
        <v>10604137.860000001</v>
      </c>
      <c r="E60" s="418">
        <f t="shared" ref="E60:O60" si="10">SUM(E61:E69)</f>
        <v>10538600.360000001</v>
      </c>
      <c r="F60" s="418">
        <f t="shared" si="10"/>
        <v>10460410.360000001</v>
      </c>
      <c r="G60" s="419">
        <f t="shared" si="10"/>
        <v>2734337.97</v>
      </c>
      <c r="H60" s="419">
        <f t="shared" si="10"/>
        <v>1147396.1699999995</v>
      </c>
      <c r="I60" s="419">
        <f t="shared" si="10"/>
        <v>5145386.78</v>
      </c>
      <c r="J60" s="419">
        <f t="shared" si="10"/>
        <v>1433289.44</v>
      </c>
      <c r="K60" s="419">
        <f t="shared" si="10"/>
        <v>0</v>
      </c>
      <c r="L60" s="419">
        <f t="shared" si="10"/>
        <v>0</v>
      </c>
      <c r="M60" s="418">
        <f t="shared" si="10"/>
        <v>78190</v>
      </c>
      <c r="N60" s="419">
        <f t="shared" si="10"/>
        <v>78190</v>
      </c>
      <c r="O60" s="419">
        <f t="shared" si="10"/>
        <v>0</v>
      </c>
      <c r="P60" s="417">
        <f t="shared" si="1"/>
        <v>99.381962957618512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</row>
    <row r="61" spans="1:35" s="5" customFormat="1" ht="12.75" customHeight="1">
      <c r="A61" s="476"/>
      <c r="B61" s="134">
        <v>85201</v>
      </c>
      <c r="C61" s="394" t="s">
        <v>86</v>
      </c>
      <c r="D61" s="170">
        <v>5476291.1600000001</v>
      </c>
      <c r="E61" s="170">
        <v>5421847.5099999998</v>
      </c>
      <c r="F61" s="170">
        <f>E61-M61</f>
        <v>5408317.5099999998</v>
      </c>
      <c r="G61" s="400">
        <f>1043223.22+79624.36+172404.47+24086.82+24290.32</f>
        <v>1343629.1900000002</v>
      </c>
      <c r="H61" s="400">
        <f>F61-G61-I61-J61</f>
        <v>626019.9599999995</v>
      </c>
      <c r="I61" s="400">
        <f>216823.21+2010884.85+1037451.09</f>
        <v>3265159.15</v>
      </c>
      <c r="J61" s="400">
        <f>2008.07+171501.14</f>
        <v>173509.21000000002</v>
      </c>
      <c r="K61" s="400"/>
      <c r="L61" s="400">
        <v>0</v>
      </c>
      <c r="M61" s="170">
        <v>13530</v>
      </c>
      <c r="N61" s="400">
        <v>13530</v>
      </c>
      <c r="O61" s="400"/>
      <c r="P61" s="393">
        <f t="shared" si="1"/>
        <v>99.005829887247984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s="5" customFormat="1">
      <c r="A62" s="477"/>
      <c r="B62" s="134">
        <v>85202</v>
      </c>
      <c r="C62" s="394" t="s">
        <v>87</v>
      </c>
      <c r="D62" s="170">
        <v>1774398</v>
      </c>
      <c r="E62" s="170">
        <v>1774398</v>
      </c>
      <c r="F62" s="170">
        <f>E62-M62</f>
        <v>1709738</v>
      </c>
      <c r="G62" s="400"/>
      <c r="H62" s="400"/>
      <c r="I62" s="400">
        <v>1709738</v>
      </c>
      <c r="J62" s="400"/>
      <c r="K62" s="400"/>
      <c r="L62" s="400">
        <v>0</v>
      </c>
      <c r="M62" s="170">
        <v>64660</v>
      </c>
      <c r="N62" s="400">
        <v>64660</v>
      </c>
      <c r="O62" s="400"/>
      <c r="P62" s="393">
        <f t="shared" si="1"/>
        <v>100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>
      <c r="A63" s="477"/>
      <c r="B63" s="134">
        <v>85203</v>
      </c>
      <c r="C63" s="394" t="s">
        <v>88</v>
      </c>
      <c r="D63" s="170">
        <v>467102.19</v>
      </c>
      <c r="E63" s="170">
        <v>467093.79</v>
      </c>
      <c r="F63" s="171">
        <f t="shared" ref="F63:F69" si="11">E63</f>
        <v>467093.79</v>
      </c>
      <c r="G63" s="401">
        <f>296172.64+17391.41+46563.33+3911.15+10640</f>
        <v>374678.53</v>
      </c>
      <c r="H63" s="400">
        <f>F63-G63-J63</f>
        <v>91777.529999999955</v>
      </c>
      <c r="I63" s="400"/>
      <c r="J63" s="400">
        <v>637.73</v>
      </c>
      <c r="K63" s="400"/>
      <c r="L63" s="400">
        <v>0</v>
      </c>
      <c r="M63" s="170">
        <v>0</v>
      </c>
      <c r="N63" s="400"/>
      <c r="O63" s="400"/>
      <c r="P63" s="393">
        <f t="shared" si="1"/>
        <v>99.9982016783094</v>
      </c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pans="1:35">
      <c r="A64" s="477"/>
      <c r="B64" s="134">
        <v>85204</v>
      </c>
      <c r="C64" s="394" t="s">
        <v>111</v>
      </c>
      <c r="D64" s="170">
        <v>1663556.44</v>
      </c>
      <c r="E64" s="170">
        <v>1660443.45</v>
      </c>
      <c r="F64" s="170">
        <f t="shared" si="11"/>
        <v>1660443.45</v>
      </c>
      <c r="G64" s="401">
        <f>27190.89+4356.91+196074.2</f>
        <v>227622</v>
      </c>
      <c r="H64" s="400">
        <f>F64-G64-J64-I64</f>
        <v>3998.3299999999581</v>
      </c>
      <c r="I64" s="400">
        <v>170489.63</v>
      </c>
      <c r="J64" s="400">
        <v>1258333.49</v>
      </c>
      <c r="K64" s="400"/>
      <c r="L64" s="400">
        <v>0</v>
      </c>
      <c r="M64" s="170">
        <v>0</v>
      </c>
      <c r="N64" s="400"/>
      <c r="O64" s="400"/>
      <c r="P64" s="393">
        <f t="shared" si="1"/>
        <v>99.81287139256905</v>
      </c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</row>
    <row r="65" spans="1:35" ht="19.5">
      <c r="A65" s="477"/>
      <c r="B65" s="134">
        <v>85205</v>
      </c>
      <c r="C65" s="394" t="s">
        <v>209</v>
      </c>
      <c r="D65" s="170">
        <v>389360</v>
      </c>
      <c r="E65" s="170">
        <v>389347.14</v>
      </c>
      <c r="F65" s="170">
        <f t="shared" si="11"/>
        <v>389347.14</v>
      </c>
      <c r="G65" s="400">
        <f>145909+11827.12+25697.25+4025.61+45623.14</f>
        <v>233082.12</v>
      </c>
      <c r="H65" s="400">
        <f>F65-G65-J65</f>
        <v>155665.02000000002</v>
      </c>
      <c r="I65" s="400"/>
      <c r="J65" s="400">
        <v>600</v>
      </c>
      <c r="K65" s="400"/>
      <c r="L65" s="400">
        <v>0</v>
      </c>
      <c r="M65" s="170">
        <v>0</v>
      </c>
      <c r="N65" s="400"/>
      <c r="O65" s="400"/>
      <c r="P65" s="393">
        <f t="shared" si="1"/>
        <v>99.996697144031231</v>
      </c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</row>
    <row r="66" spans="1:35" ht="12.75" customHeight="1">
      <c r="A66" s="477"/>
      <c r="B66" s="134">
        <v>85218</v>
      </c>
      <c r="C66" s="394" t="s">
        <v>90</v>
      </c>
      <c r="D66" s="170">
        <v>637591</v>
      </c>
      <c r="E66" s="170">
        <v>630729.63</v>
      </c>
      <c r="F66" s="170">
        <f t="shared" si="11"/>
        <v>630729.63</v>
      </c>
      <c r="G66" s="401">
        <f>318639.18+27189.35+45449.69+5226.63+600</f>
        <v>397104.85</v>
      </c>
      <c r="H66" s="400">
        <f>F66-G66-J66</f>
        <v>233415.77000000002</v>
      </c>
      <c r="I66" s="400"/>
      <c r="J66" s="400">
        <v>209.01</v>
      </c>
      <c r="K66" s="400"/>
      <c r="L66" s="400">
        <v>0</v>
      </c>
      <c r="M66" s="170">
        <v>0</v>
      </c>
      <c r="N66" s="400"/>
      <c r="O66" s="400"/>
      <c r="P66" s="393">
        <f t="shared" si="1"/>
        <v>98.923860280336456</v>
      </c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</row>
    <row r="67" spans="1:35" ht="12.75" customHeight="1">
      <c r="A67" s="477"/>
      <c r="B67" s="134">
        <v>85226</v>
      </c>
      <c r="C67" s="394" t="s">
        <v>193</v>
      </c>
      <c r="D67" s="170">
        <v>162375</v>
      </c>
      <c r="E67" s="170">
        <v>162370.56</v>
      </c>
      <c r="F67" s="170">
        <f t="shared" si="11"/>
        <v>162370.56</v>
      </c>
      <c r="G67" s="401">
        <f>106021.71+7227.17+18851.67+3020.73+6600</f>
        <v>141721.28</v>
      </c>
      <c r="H67" s="400">
        <f>F67-G67</f>
        <v>20649.28</v>
      </c>
      <c r="I67" s="400"/>
      <c r="J67" s="400"/>
      <c r="K67" s="400"/>
      <c r="L67" s="400"/>
      <c r="M67" s="170"/>
      <c r="N67" s="400"/>
      <c r="O67" s="400"/>
      <c r="P67" s="393">
        <f t="shared" si="1"/>
        <v>99.997265588914559</v>
      </c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</row>
    <row r="68" spans="1:35" ht="19.5">
      <c r="A68" s="477"/>
      <c r="B68" s="134">
        <v>85233</v>
      </c>
      <c r="C68" s="394" t="s">
        <v>82</v>
      </c>
      <c r="D68" s="170">
        <v>3464.07</v>
      </c>
      <c r="E68" s="170">
        <v>2370.2800000000002</v>
      </c>
      <c r="F68" s="170">
        <f t="shared" si="11"/>
        <v>2370.2800000000002</v>
      </c>
      <c r="G68" s="400"/>
      <c r="H68" s="400">
        <f>F68</f>
        <v>2370.2800000000002</v>
      </c>
      <c r="I68" s="400"/>
      <c r="J68" s="400"/>
      <c r="K68" s="400"/>
      <c r="L68" s="400">
        <v>0</v>
      </c>
      <c r="M68" s="170">
        <v>0</v>
      </c>
      <c r="N68" s="400"/>
      <c r="O68" s="400"/>
      <c r="P68" s="393">
        <f t="shared" si="1"/>
        <v>68.424714281177927</v>
      </c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</row>
    <row r="69" spans="1:35" ht="12.75" customHeight="1">
      <c r="A69" s="478"/>
      <c r="B69" s="161">
        <v>85295</v>
      </c>
      <c r="C69" s="394" t="s">
        <v>72</v>
      </c>
      <c r="D69" s="170">
        <v>30000</v>
      </c>
      <c r="E69" s="170">
        <v>30000</v>
      </c>
      <c r="F69" s="170">
        <f t="shared" si="11"/>
        <v>30000</v>
      </c>
      <c r="G69" s="400">
        <v>16500</v>
      </c>
      <c r="H69" s="400">
        <f>F69-G69</f>
        <v>13500</v>
      </c>
      <c r="I69" s="400"/>
      <c r="J69" s="400"/>
      <c r="K69" s="400"/>
      <c r="L69" s="400"/>
      <c r="M69" s="170"/>
      <c r="N69" s="400"/>
      <c r="O69" s="400"/>
      <c r="P69" s="393">
        <f t="shared" si="1"/>
        <v>100</v>
      </c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</row>
    <row r="70" spans="1:35" s="4" customFormat="1" ht="19.5">
      <c r="A70" s="115">
        <v>853</v>
      </c>
      <c r="B70" s="115"/>
      <c r="C70" s="414" t="s">
        <v>34</v>
      </c>
      <c r="D70" s="418">
        <f>D72+D73+D74+D71</f>
        <v>3860441.0300000003</v>
      </c>
      <c r="E70" s="418">
        <f t="shared" ref="E70:O70" si="12">E72+E73+E74+E71</f>
        <v>3839703.99</v>
      </c>
      <c r="F70" s="418">
        <f t="shared" si="12"/>
        <v>3807703.99</v>
      </c>
      <c r="G70" s="419">
        <f t="shared" si="12"/>
        <v>2100098.9899999998</v>
      </c>
      <c r="H70" s="419">
        <f t="shared" si="12"/>
        <v>236293.63000000027</v>
      </c>
      <c r="I70" s="419">
        <f t="shared" si="12"/>
        <v>89040</v>
      </c>
      <c r="J70" s="419">
        <f t="shared" si="12"/>
        <v>0</v>
      </c>
      <c r="K70" s="419">
        <f t="shared" si="12"/>
        <v>1382271.37</v>
      </c>
      <c r="L70" s="419">
        <f t="shared" si="12"/>
        <v>0</v>
      </c>
      <c r="M70" s="418">
        <f t="shared" si="12"/>
        <v>32000</v>
      </c>
      <c r="N70" s="419">
        <f t="shared" si="12"/>
        <v>32000</v>
      </c>
      <c r="O70" s="419">
        <f t="shared" si="12"/>
        <v>0</v>
      </c>
      <c r="P70" s="417">
        <f t="shared" si="1"/>
        <v>99.462832359337966</v>
      </c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</row>
    <row r="71" spans="1:35" s="5" customFormat="1" ht="19.5">
      <c r="A71" s="484"/>
      <c r="B71" s="134">
        <v>85311</v>
      </c>
      <c r="C71" s="397" t="s">
        <v>150</v>
      </c>
      <c r="D71" s="170">
        <v>89040</v>
      </c>
      <c r="E71" s="170">
        <v>89040</v>
      </c>
      <c r="F71" s="170">
        <f>E71</f>
        <v>89040</v>
      </c>
      <c r="G71" s="400"/>
      <c r="H71" s="400"/>
      <c r="I71" s="400">
        <v>89040</v>
      </c>
      <c r="J71" s="400"/>
      <c r="K71" s="400"/>
      <c r="L71" s="400">
        <v>0</v>
      </c>
      <c r="M71" s="170">
        <v>0</v>
      </c>
      <c r="N71" s="400"/>
      <c r="O71" s="400"/>
      <c r="P71" s="393">
        <f t="shared" si="1"/>
        <v>100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:35" ht="12" customHeight="1">
      <c r="A72" s="484"/>
      <c r="B72" s="134">
        <v>85321</v>
      </c>
      <c r="C72" s="394" t="s">
        <v>114</v>
      </c>
      <c r="D72" s="170">
        <v>125760</v>
      </c>
      <c r="E72" s="170">
        <v>125758.74</v>
      </c>
      <c r="F72" s="170">
        <f>E72</f>
        <v>125758.74</v>
      </c>
      <c r="G72" s="400">
        <f>40480+2957.66+7251.76+1145.48+21491</f>
        <v>73325.900000000009</v>
      </c>
      <c r="H72" s="400">
        <f>F72-G72</f>
        <v>52432.84</v>
      </c>
      <c r="I72" s="400"/>
      <c r="J72" s="400"/>
      <c r="K72" s="400"/>
      <c r="L72" s="400">
        <v>0</v>
      </c>
      <c r="M72" s="170">
        <v>0</v>
      </c>
      <c r="N72" s="400"/>
      <c r="O72" s="400"/>
      <c r="P72" s="393">
        <f t="shared" si="1"/>
        <v>99.998998091603056</v>
      </c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pans="1:35" ht="14.25" customHeight="1">
      <c r="A73" s="484"/>
      <c r="B73" s="134">
        <v>85333</v>
      </c>
      <c r="C73" s="394" t="s">
        <v>92</v>
      </c>
      <c r="D73" s="170">
        <v>2204368</v>
      </c>
      <c r="E73" s="170">
        <v>2201856.89</v>
      </c>
      <c r="F73" s="170">
        <f>E73-M73</f>
        <v>2169856.89</v>
      </c>
      <c r="G73" s="400">
        <f>1572674.21+118380.62+258759.91+36318.89+2480</f>
        <v>1988613.63</v>
      </c>
      <c r="H73" s="400">
        <f>F73-G73-J73</f>
        <v>181243.26000000024</v>
      </c>
      <c r="I73" s="400"/>
      <c r="J73" s="400">
        <v>0</v>
      </c>
      <c r="K73" s="400"/>
      <c r="L73" s="400">
        <v>0</v>
      </c>
      <c r="M73" s="170">
        <v>32000</v>
      </c>
      <c r="N73" s="400">
        <v>32000</v>
      </c>
      <c r="O73" s="400"/>
      <c r="P73" s="393">
        <f t="shared" si="1"/>
        <v>99.886084809795832</v>
      </c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</row>
    <row r="74" spans="1:35" ht="14.25" customHeight="1">
      <c r="A74" s="484"/>
      <c r="B74" s="134">
        <v>85395</v>
      </c>
      <c r="C74" s="394" t="s">
        <v>72</v>
      </c>
      <c r="D74" s="172">
        <v>1441273.03</v>
      </c>
      <c r="E74" s="172">
        <v>1423048.36</v>
      </c>
      <c r="F74" s="172">
        <f>E74</f>
        <v>1423048.36</v>
      </c>
      <c r="G74" s="400">
        <f>25432.71+1733.65+4642.96+750.14+5600</f>
        <v>38159.46</v>
      </c>
      <c r="H74" s="400">
        <f>F74-G74-K74</f>
        <v>2617.5300000000279</v>
      </c>
      <c r="I74" s="400"/>
      <c r="J74" s="400"/>
      <c r="K74" s="400">
        <f>781492.58+46009.04+47597.76+49869.14+152108.32+4508.62+35491.89+1457.56+5252.95+240.02+188275.6+11084.4+9215.29+542.54+33907.17+1996.21+12466.08+733.92+21.04+1.24</f>
        <v>1382271.37</v>
      </c>
      <c r="L74" s="400">
        <v>0</v>
      </c>
      <c r="M74" s="172">
        <v>0</v>
      </c>
      <c r="N74" s="400"/>
      <c r="O74" s="400"/>
      <c r="P74" s="393">
        <f t="shared" si="1"/>
        <v>98.735515782183199</v>
      </c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</row>
    <row r="75" spans="1:35" s="4" customFormat="1" ht="12.75" customHeight="1">
      <c r="A75" s="115">
        <v>854</v>
      </c>
      <c r="B75" s="115" t="s">
        <v>11</v>
      </c>
      <c r="C75" s="414" t="s">
        <v>93</v>
      </c>
      <c r="D75" s="424">
        <f>SUM(D76:D83)</f>
        <v>5873265.3200000003</v>
      </c>
      <c r="E75" s="424">
        <f t="shared" ref="E75:O75" si="13">SUM(E76:E83)</f>
        <v>5806791.3899999997</v>
      </c>
      <c r="F75" s="424">
        <f t="shared" si="13"/>
        <v>4717157.5200000005</v>
      </c>
      <c r="G75" s="419">
        <f t="shared" si="13"/>
        <v>2600344.56</v>
      </c>
      <c r="H75" s="419">
        <f t="shared" si="13"/>
        <v>752265.52</v>
      </c>
      <c r="I75" s="419">
        <f t="shared" si="13"/>
        <v>1251883.8400000001</v>
      </c>
      <c r="J75" s="419">
        <f t="shared" si="13"/>
        <v>112663.6</v>
      </c>
      <c r="K75" s="419">
        <f t="shared" si="13"/>
        <v>0</v>
      </c>
      <c r="L75" s="419">
        <f t="shared" si="13"/>
        <v>0</v>
      </c>
      <c r="M75" s="424">
        <f t="shared" si="13"/>
        <v>1089633.8699999999</v>
      </c>
      <c r="N75" s="419">
        <f t="shared" si="13"/>
        <v>1089633.8699999999</v>
      </c>
      <c r="O75" s="419">
        <f t="shared" si="13"/>
        <v>0</v>
      </c>
      <c r="P75" s="425">
        <f t="shared" si="1"/>
        <v>98.868194668923962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</row>
    <row r="76" spans="1:35" ht="21" customHeight="1">
      <c r="A76" s="476"/>
      <c r="B76" s="134">
        <v>85406</v>
      </c>
      <c r="C76" s="394" t="s">
        <v>42</v>
      </c>
      <c r="D76" s="172">
        <v>912068</v>
      </c>
      <c r="E76" s="172">
        <v>912062.39</v>
      </c>
      <c r="F76" s="172">
        <f>E76-M76</f>
        <v>887462.39</v>
      </c>
      <c r="G76" s="401">
        <f>604708+43195.51+89100+11184+10586</f>
        <v>758773.51</v>
      </c>
      <c r="H76" s="400">
        <f>F76-G76-J76</f>
        <v>127263.88</v>
      </c>
      <c r="I76" s="400">
        <v>0</v>
      </c>
      <c r="J76" s="400">
        <v>1425</v>
      </c>
      <c r="K76" s="400"/>
      <c r="L76" s="400">
        <v>0</v>
      </c>
      <c r="M76" s="172">
        <v>24600</v>
      </c>
      <c r="N76" s="400">
        <v>24600</v>
      </c>
      <c r="O76" s="400"/>
      <c r="P76" s="393">
        <f t="shared" si="1"/>
        <v>99.9993849142827</v>
      </c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</row>
    <row r="77" spans="1:35" ht="12.75" customHeight="1">
      <c r="A77" s="477"/>
      <c r="B77" s="134">
        <v>85407</v>
      </c>
      <c r="C77" s="394" t="s">
        <v>43</v>
      </c>
      <c r="D77" s="172">
        <v>591159.94999999995</v>
      </c>
      <c r="E77" s="172">
        <v>591159.94999999995</v>
      </c>
      <c r="F77" s="172">
        <f>E77-M77</f>
        <v>497372.15999999997</v>
      </c>
      <c r="G77" s="401">
        <f>273453.83+19283.37+46898.4+5692.36+75396</f>
        <v>420723.96</v>
      </c>
      <c r="H77" s="400">
        <f>F77-G77-J77</f>
        <v>75666.599999999948</v>
      </c>
      <c r="I77" s="400">
        <v>0</v>
      </c>
      <c r="J77" s="400">
        <v>981.6</v>
      </c>
      <c r="K77" s="400"/>
      <c r="L77" s="400">
        <v>0</v>
      </c>
      <c r="M77" s="172">
        <v>93787.79</v>
      </c>
      <c r="N77" s="400">
        <v>93787.79</v>
      </c>
      <c r="O77" s="400"/>
      <c r="P77" s="393">
        <f t="shared" ref="P77:P92" si="14">E77/D77*100</f>
        <v>100</v>
      </c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</row>
    <row r="78" spans="1:35">
      <c r="A78" s="477"/>
      <c r="B78" s="134">
        <v>85410</v>
      </c>
      <c r="C78" s="394" t="s">
        <v>44</v>
      </c>
      <c r="D78" s="262">
        <v>1491609.08</v>
      </c>
      <c r="E78" s="262">
        <v>1482492.55</v>
      </c>
      <c r="F78" s="172">
        <f>E78-M78</f>
        <v>511246.47000000009</v>
      </c>
      <c r="G78" s="401">
        <f>259414.5+19321.29+42382.83+6663.02+12467.45</f>
        <v>340249.09</v>
      </c>
      <c r="H78" s="400">
        <f>F78-G78-J78</f>
        <v>142040.38000000006</v>
      </c>
      <c r="I78" s="400">
        <v>0</v>
      </c>
      <c r="J78" s="400">
        <v>28957</v>
      </c>
      <c r="K78" s="400"/>
      <c r="L78" s="400">
        <v>0</v>
      </c>
      <c r="M78" s="172">
        <v>971246.07999999996</v>
      </c>
      <c r="N78" s="400">
        <v>971246.07999999996</v>
      </c>
      <c r="O78" s="400"/>
      <c r="P78" s="393">
        <f t="shared" si="14"/>
        <v>99.388812382397134</v>
      </c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</row>
    <row r="79" spans="1:35">
      <c r="A79" s="477"/>
      <c r="B79" s="134">
        <v>85415</v>
      </c>
      <c r="C79" s="394" t="s">
        <v>95</v>
      </c>
      <c r="D79" s="262">
        <v>20000</v>
      </c>
      <c r="E79" s="262">
        <v>13900</v>
      </c>
      <c r="F79" s="172">
        <f>E79</f>
        <v>13900</v>
      </c>
      <c r="G79" s="400"/>
      <c r="H79" s="400">
        <v>0</v>
      </c>
      <c r="I79" s="400">
        <v>0</v>
      </c>
      <c r="J79" s="400">
        <v>13900</v>
      </c>
      <c r="K79" s="400"/>
      <c r="L79" s="400">
        <v>0</v>
      </c>
      <c r="M79" s="172">
        <v>0</v>
      </c>
      <c r="N79" s="400"/>
      <c r="O79" s="400"/>
      <c r="P79" s="393">
        <f t="shared" si="14"/>
        <v>69.5</v>
      </c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</row>
    <row r="80" spans="1:35" ht="12" customHeight="1">
      <c r="A80" s="477"/>
      <c r="B80" s="134">
        <v>85419</v>
      </c>
      <c r="C80" s="394" t="s">
        <v>148</v>
      </c>
      <c r="D80" s="262">
        <v>1264100</v>
      </c>
      <c r="E80" s="262">
        <v>1251883.8400000001</v>
      </c>
      <c r="F80" s="172">
        <f>E80</f>
        <v>1251883.8400000001</v>
      </c>
      <c r="G80" s="400"/>
      <c r="H80" s="400"/>
      <c r="I80" s="400">
        <f>F80</f>
        <v>1251883.8400000001</v>
      </c>
      <c r="J80" s="400"/>
      <c r="K80" s="400"/>
      <c r="L80" s="400">
        <v>0</v>
      </c>
      <c r="M80" s="172">
        <v>0</v>
      </c>
      <c r="N80" s="400"/>
      <c r="O80" s="400"/>
      <c r="P80" s="393">
        <f t="shared" si="14"/>
        <v>99.03360810062496</v>
      </c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</row>
    <row r="81" spans="1:35">
      <c r="A81" s="477"/>
      <c r="B81" s="134">
        <v>85420</v>
      </c>
      <c r="C81" s="394" t="s">
        <v>117</v>
      </c>
      <c r="D81" s="262">
        <v>1545538</v>
      </c>
      <c r="E81" s="262">
        <v>1545538</v>
      </c>
      <c r="F81" s="172">
        <f>E81-M81</f>
        <v>1545538</v>
      </c>
      <c r="G81" s="401">
        <f>860696+58126+132006+19670+10100</f>
        <v>1080598</v>
      </c>
      <c r="H81" s="400">
        <f>F81-G81-J81</f>
        <v>397540</v>
      </c>
      <c r="I81" s="400"/>
      <c r="J81" s="400">
        <v>67400</v>
      </c>
      <c r="K81" s="400"/>
      <c r="L81" s="400">
        <v>0</v>
      </c>
      <c r="M81" s="172">
        <v>0</v>
      </c>
      <c r="N81" s="400"/>
      <c r="O81" s="400"/>
      <c r="P81" s="393">
        <f t="shared" si="14"/>
        <v>100</v>
      </c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</row>
    <row r="82" spans="1:35" ht="19.5">
      <c r="A82" s="477"/>
      <c r="B82" s="134">
        <v>85446</v>
      </c>
      <c r="C82" s="394" t="s">
        <v>82</v>
      </c>
      <c r="D82" s="171">
        <v>15843.31</v>
      </c>
      <c r="E82" s="171">
        <v>9754.66</v>
      </c>
      <c r="F82" s="170">
        <f>E82</f>
        <v>9754.66</v>
      </c>
      <c r="G82" s="400"/>
      <c r="H82" s="400">
        <f>F82</f>
        <v>9754.66</v>
      </c>
      <c r="I82" s="400"/>
      <c r="J82" s="400"/>
      <c r="K82" s="400"/>
      <c r="L82" s="400">
        <v>0</v>
      </c>
      <c r="M82" s="170">
        <v>0</v>
      </c>
      <c r="N82" s="400"/>
      <c r="O82" s="400"/>
      <c r="P82" s="393">
        <f t="shared" si="14"/>
        <v>61.569583628673556</v>
      </c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</row>
    <row r="83" spans="1:35">
      <c r="A83" s="478"/>
      <c r="B83" s="349">
        <v>85495</v>
      </c>
      <c r="C83" s="394" t="s">
        <v>72</v>
      </c>
      <c r="D83" s="171">
        <v>32946.980000000003</v>
      </c>
      <c r="E83" s="171"/>
      <c r="F83" s="170"/>
      <c r="G83" s="400"/>
      <c r="H83" s="400"/>
      <c r="I83" s="400"/>
      <c r="J83" s="400"/>
      <c r="K83" s="400"/>
      <c r="L83" s="400"/>
      <c r="M83" s="170"/>
      <c r="N83" s="400"/>
      <c r="O83" s="400"/>
      <c r="P83" s="393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</row>
    <row r="84" spans="1:35" s="41" customFormat="1" ht="19.5">
      <c r="A84" s="115">
        <v>921</v>
      </c>
      <c r="B84" s="115"/>
      <c r="C84" s="414" t="s">
        <v>115</v>
      </c>
      <c r="D84" s="418">
        <f>D85+D86+D87</f>
        <v>162800</v>
      </c>
      <c r="E84" s="418">
        <f t="shared" ref="E84:M84" si="15">E85+E86+E87</f>
        <v>157065.91</v>
      </c>
      <c r="F84" s="418">
        <f t="shared" si="15"/>
        <v>157065.91</v>
      </c>
      <c r="G84" s="419">
        <f t="shared" si="15"/>
        <v>18650</v>
      </c>
      <c r="H84" s="419">
        <f t="shared" si="15"/>
        <v>30615.910000000003</v>
      </c>
      <c r="I84" s="419">
        <f t="shared" si="15"/>
        <v>107800</v>
      </c>
      <c r="J84" s="419">
        <f t="shared" si="15"/>
        <v>0</v>
      </c>
      <c r="K84" s="419">
        <f t="shared" si="15"/>
        <v>0</v>
      </c>
      <c r="L84" s="419">
        <f t="shared" si="15"/>
        <v>0</v>
      </c>
      <c r="M84" s="418">
        <f t="shared" si="15"/>
        <v>0</v>
      </c>
      <c r="N84" s="419"/>
      <c r="O84" s="419"/>
      <c r="P84" s="417">
        <f t="shared" si="14"/>
        <v>96.477831695331702</v>
      </c>
      <c r="Q84" s="40"/>
      <c r="R84" s="40"/>
      <c r="S84" s="40"/>
      <c r="T84" s="40"/>
      <c r="U84" s="40"/>
      <c r="V84" s="40"/>
      <c r="W84" s="40"/>
      <c r="X84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>
      <c r="A85" s="533"/>
      <c r="B85" s="134">
        <v>92105</v>
      </c>
      <c r="C85" s="394" t="s">
        <v>116</v>
      </c>
      <c r="D85" s="170">
        <v>55000</v>
      </c>
      <c r="E85" s="170">
        <v>49265.91</v>
      </c>
      <c r="F85" s="170">
        <f>E85</f>
        <v>49265.91</v>
      </c>
      <c r="G85" s="400">
        <v>18650</v>
      </c>
      <c r="H85" s="400">
        <f>F85-G85-I85</f>
        <v>30615.910000000003</v>
      </c>
      <c r="I85" s="400">
        <v>0</v>
      </c>
      <c r="J85" s="400"/>
      <c r="K85" s="400"/>
      <c r="L85" s="400">
        <v>0</v>
      </c>
      <c r="M85" s="170">
        <v>0</v>
      </c>
      <c r="N85" s="400"/>
      <c r="O85" s="400"/>
      <c r="P85" s="393">
        <f t="shared" si="14"/>
        <v>89.57438181818182</v>
      </c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</row>
    <row r="86" spans="1:35">
      <c r="A86" s="533"/>
      <c r="B86" s="134">
        <v>92116</v>
      </c>
      <c r="C86" s="394" t="s">
        <v>169</v>
      </c>
      <c r="D86" s="170">
        <v>57800</v>
      </c>
      <c r="E86" s="170">
        <v>57800</v>
      </c>
      <c r="F86" s="170">
        <f>E86-M86</f>
        <v>57800</v>
      </c>
      <c r="G86" s="400">
        <v>0</v>
      </c>
      <c r="H86" s="400">
        <v>0</v>
      </c>
      <c r="I86" s="400">
        <v>57800</v>
      </c>
      <c r="J86" s="400"/>
      <c r="K86" s="400"/>
      <c r="L86" s="400">
        <v>0</v>
      </c>
      <c r="M86" s="170">
        <v>0</v>
      </c>
      <c r="N86" s="400"/>
      <c r="O86" s="400"/>
      <c r="P86" s="393">
        <f t="shared" si="14"/>
        <v>100</v>
      </c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</row>
    <row r="87" spans="1:35" ht="19.5">
      <c r="A87" s="533"/>
      <c r="B87" s="134">
        <v>92120</v>
      </c>
      <c r="C87" s="394" t="s">
        <v>363</v>
      </c>
      <c r="D87" s="170">
        <v>50000</v>
      </c>
      <c r="E87" s="170">
        <v>50000</v>
      </c>
      <c r="F87" s="170">
        <v>50000</v>
      </c>
      <c r="G87" s="400">
        <v>0</v>
      </c>
      <c r="H87" s="400">
        <v>0</v>
      </c>
      <c r="I87" s="400">
        <v>50000</v>
      </c>
      <c r="J87" s="400"/>
      <c r="K87" s="400"/>
      <c r="L87" s="400">
        <v>0</v>
      </c>
      <c r="M87" s="170">
        <v>0</v>
      </c>
      <c r="N87" s="400"/>
      <c r="O87" s="400"/>
      <c r="P87" s="393">
        <f t="shared" si="14"/>
        <v>100</v>
      </c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</row>
    <row r="88" spans="1:35" s="4" customFormat="1">
      <c r="A88" s="115">
        <v>926</v>
      </c>
      <c r="B88" s="115"/>
      <c r="C88" s="414" t="s">
        <v>352</v>
      </c>
      <c r="D88" s="418">
        <f>D90+D89+D91</f>
        <v>1118342.9099999999</v>
      </c>
      <c r="E88" s="418">
        <f t="shared" ref="E88:M88" si="16">E90+E89+E91</f>
        <v>1105488.52</v>
      </c>
      <c r="F88" s="418">
        <f t="shared" si="16"/>
        <v>105488.51999999999</v>
      </c>
      <c r="G88" s="419">
        <f t="shared" si="16"/>
        <v>43245.56</v>
      </c>
      <c r="H88" s="419">
        <f t="shared" si="16"/>
        <v>9599.9599999999919</v>
      </c>
      <c r="I88" s="419">
        <f t="shared" si="16"/>
        <v>52643</v>
      </c>
      <c r="J88" s="419">
        <f t="shared" si="16"/>
        <v>0</v>
      </c>
      <c r="K88" s="419">
        <f t="shared" si="16"/>
        <v>0</v>
      </c>
      <c r="L88" s="419">
        <f t="shared" si="16"/>
        <v>0</v>
      </c>
      <c r="M88" s="418">
        <f t="shared" si="16"/>
        <v>1000000</v>
      </c>
      <c r="N88" s="419"/>
      <c r="O88" s="419"/>
      <c r="P88" s="417">
        <f t="shared" si="14"/>
        <v>98.850585997813511</v>
      </c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</row>
    <row r="89" spans="1:35" s="5" customFormat="1">
      <c r="A89" s="484"/>
      <c r="B89" s="134">
        <v>92601</v>
      </c>
      <c r="C89" s="394" t="s">
        <v>149</v>
      </c>
      <c r="D89" s="170">
        <v>1051599.9099999999</v>
      </c>
      <c r="E89" s="170">
        <v>1045239.49</v>
      </c>
      <c r="F89" s="170">
        <f>E89-M89</f>
        <v>45239.489999999991</v>
      </c>
      <c r="G89" s="400">
        <f>18317.97+1376.69+4025.51+454.15+19071.24</f>
        <v>43245.56</v>
      </c>
      <c r="H89" s="400">
        <f>F89-G89-I89</f>
        <v>1093.929999999993</v>
      </c>
      <c r="I89" s="400">
        <v>900</v>
      </c>
      <c r="J89" s="400">
        <v>0</v>
      </c>
      <c r="K89" s="400"/>
      <c r="L89" s="400">
        <v>0</v>
      </c>
      <c r="M89" s="170">
        <v>1000000</v>
      </c>
      <c r="N89" s="400"/>
      <c r="O89" s="400"/>
      <c r="P89" s="393">
        <f t="shared" si="14"/>
        <v>99.395167312252823</v>
      </c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pans="1:35" ht="24.75" customHeight="1">
      <c r="A90" s="484"/>
      <c r="B90" s="134">
        <v>92605</v>
      </c>
      <c r="C90" s="394" t="s">
        <v>97</v>
      </c>
      <c r="D90" s="170">
        <v>60000</v>
      </c>
      <c r="E90" s="170">
        <v>53506.03</v>
      </c>
      <c r="F90" s="170">
        <f>E90</f>
        <v>53506.03</v>
      </c>
      <c r="G90" s="400"/>
      <c r="H90" s="400">
        <f>F90-I90</f>
        <v>8506.0299999999988</v>
      </c>
      <c r="I90" s="400">
        <v>45000</v>
      </c>
      <c r="J90" s="400"/>
      <c r="K90" s="400"/>
      <c r="L90" s="400">
        <v>0</v>
      </c>
      <c r="M90" s="170">
        <v>0</v>
      </c>
      <c r="N90" s="400"/>
      <c r="O90" s="400"/>
      <c r="P90" s="393">
        <f t="shared" si="14"/>
        <v>89.176716666666664</v>
      </c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</row>
    <row r="91" spans="1:35" ht="15" customHeight="1">
      <c r="A91" s="484"/>
      <c r="B91" s="134">
        <v>92695</v>
      </c>
      <c r="C91" s="394" t="s">
        <v>72</v>
      </c>
      <c r="D91" s="170">
        <v>6743</v>
      </c>
      <c r="E91" s="170">
        <v>6743</v>
      </c>
      <c r="F91" s="170">
        <f>E91</f>
        <v>6743</v>
      </c>
      <c r="G91" s="400"/>
      <c r="H91" s="400"/>
      <c r="I91" s="400">
        <v>6743</v>
      </c>
      <c r="J91" s="400">
        <v>0</v>
      </c>
      <c r="K91" s="400"/>
      <c r="L91" s="400">
        <v>0</v>
      </c>
      <c r="M91" s="170">
        <v>0</v>
      </c>
      <c r="N91" s="400"/>
      <c r="O91" s="400"/>
      <c r="P91" s="393">
        <f t="shared" si="14"/>
        <v>100</v>
      </c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</row>
    <row r="92" spans="1:35" s="48" customFormat="1" ht="12">
      <c r="A92" s="532" t="s">
        <v>24</v>
      </c>
      <c r="B92" s="532"/>
      <c r="C92" s="532"/>
      <c r="D92" s="418">
        <f>D12+D15+D18+D21+D23+D27+D34+D39+D43+D54+D60+D70+D75+D84+D88+D41</f>
        <v>62258722.949999996</v>
      </c>
      <c r="E92" s="418">
        <f t="shared" ref="E92:O92" si="17">E12+E15+E18+E21+E23+E27+E34+E39+E43+E54+E60+E70+E75+E84+E88+E41</f>
        <v>61244296.619999997</v>
      </c>
      <c r="F92" s="418">
        <f t="shared" si="17"/>
        <v>51170157.770000011</v>
      </c>
      <c r="G92" s="419">
        <f t="shared" si="17"/>
        <v>25238693.229999993</v>
      </c>
      <c r="H92" s="419">
        <f t="shared" si="17"/>
        <v>12819671.020000001</v>
      </c>
      <c r="I92" s="419">
        <f t="shared" si="17"/>
        <v>8408104.0700000003</v>
      </c>
      <c r="J92" s="419">
        <f>J12+J15+J18+J21+J23+J27+J34+J39+J43+J54+J60+J70+J75+J84+J88+J41</f>
        <v>2372243.4700000002</v>
      </c>
      <c r="K92" s="419">
        <f t="shared" si="17"/>
        <v>1413515.32</v>
      </c>
      <c r="L92" s="419">
        <f t="shared" si="17"/>
        <v>917930.66</v>
      </c>
      <c r="M92" s="418">
        <f t="shared" si="17"/>
        <v>10074138.85</v>
      </c>
      <c r="N92" s="419">
        <f t="shared" si="17"/>
        <v>7912631.9300000006</v>
      </c>
      <c r="O92" s="419">
        <f t="shared" si="17"/>
        <v>764280.47</v>
      </c>
      <c r="P92" s="417">
        <f t="shared" si="14"/>
        <v>98.370627790077407</v>
      </c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</row>
    <row r="93" spans="1: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35">
      <c r="A94" s="1"/>
      <c r="B94" s="1"/>
      <c r="C94" s="1"/>
      <c r="D94" s="1"/>
      <c r="E94" s="1"/>
      <c r="F94" s="530"/>
      <c r="G94" s="530"/>
      <c r="H94" s="1"/>
      <c r="I94" s="1"/>
      <c r="J94" s="1"/>
      <c r="K94" s="1"/>
      <c r="L94" s="1"/>
      <c r="M94" s="1"/>
      <c r="N94" s="1"/>
      <c r="O94" s="1"/>
    </row>
    <row r="95" spans="1:35">
      <c r="E95" s="174"/>
      <c r="F95" s="531"/>
      <c r="G95" s="531"/>
    </row>
    <row r="96" spans="1:35">
      <c r="E96" s="174"/>
      <c r="G96" s="39"/>
    </row>
    <row r="97" spans="9:9">
      <c r="I97" s="472"/>
    </row>
    <row r="98" spans="9:9">
      <c r="I98" s="472"/>
    </row>
    <row r="99" spans="9:9">
      <c r="I99" s="83"/>
    </row>
    <row r="100" spans="9:9">
      <c r="I100" s="83"/>
    </row>
    <row r="101" spans="9:9">
      <c r="I101" s="83"/>
    </row>
  </sheetData>
  <mergeCells count="32">
    <mergeCell ref="A16:A17"/>
    <mergeCell ref="A2:P2"/>
    <mergeCell ref="A3:P3"/>
    <mergeCell ref="A4:P4"/>
    <mergeCell ref="A5:P5"/>
    <mergeCell ref="A13:A14"/>
    <mergeCell ref="A8:A10"/>
    <mergeCell ref="B8:B10"/>
    <mergeCell ref="C8:C10"/>
    <mergeCell ref="D8:D10"/>
    <mergeCell ref="E8:E10"/>
    <mergeCell ref="F8:O8"/>
    <mergeCell ref="N9:O9"/>
    <mergeCell ref="I1:P1"/>
    <mergeCell ref="M9:M10"/>
    <mergeCell ref="F9:F10"/>
    <mergeCell ref="P8:P10"/>
    <mergeCell ref="G9:L9"/>
    <mergeCell ref="F95:G95"/>
    <mergeCell ref="A44:A53"/>
    <mergeCell ref="A92:C92"/>
    <mergeCell ref="A89:A91"/>
    <mergeCell ref="A85:A87"/>
    <mergeCell ref="A71:A74"/>
    <mergeCell ref="A61:A69"/>
    <mergeCell ref="A55:A59"/>
    <mergeCell ref="A19:A20"/>
    <mergeCell ref="A28:A33"/>
    <mergeCell ref="A24:A26"/>
    <mergeCell ref="A35:A38"/>
    <mergeCell ref="F94:G94"/>
    <mergeCell ref="A76:A83"/>
  </mergeCells>
  <phoneticPr fontId="0" type="noConversion"/>
  <pageMargins left="0.19685039370078741" right="0.19685039370078741" top="0.78740157480314965" bottom="0.78740157480314965" header="0.51181102362204722" footer="0.51181102362204722"/>
  <pageSetup paperSize="9" scale="95" orientation="landscape" r:id="rId1"/>
  <headerFooter alignWithMargins="0">
    <oddFooter>&amp;C&amp;"Times New (W1),Normalny"Tabela Nr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X125"/>
  <sheetViews>
    <sheetView view="pageLayout" workbookViewId="0">
      <selection activeCell="J35" sqref="J35"/>
    </sheetView>
  </sheetViews>
  <sheetFormatPr defaultRowHeight="12.75"/>
  <cols>
    <col min="1" max="1" width="5.28515625" customWidth="1"/>
    <col min="2" max="2" width="6" hidden="1" customWidth="1"/>
    <col min="3" max="3" width="6.140625" hidden="1" customWidth="1"/>
    <col min="4" max="4" width="25.28515625" customWidth="1"/>
    <col min="5" max="5" width="13.5703125" customWidth="1"/>
    <col min="6" max="6" width="12.7109375" hidden="1" customWidth="1"/>
    <col min="7" max="9" width="12.7109375" customWidth="1"/>
    <col min="10" max="10" width="16.7109375" customWidth="1"/>
    <col min="11" max="11" width="40.7109375" customWidth="1"/>
    <col min="12" max="12" width="0.85546875" hidden="1" customWidth="1"/>
  </cols>
  <sheetData>
    <row r="1" spans="1:24" ht="15.75" customHeight="1">
      <c r="D1" t="s">
        <v>134</v>
      </c>
      <c r="E1" t="s">
        <v>125</v>
      </c>
    </row>
    <row r="2" spans="1:24" s="3" customFormat="1">
      <c r="A2" s="76" t="s">
        <v>12</v>
      </c>
      <c r="B2" s="26"/>
      <c r="C2" s="12" t="s">
        <v>25</v>
      </c>
      <c r="D2" s="13">
        <v>50325</v>
      </c>
      <c r="E2" s="27">
        <v>50159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idden="1">
      <c r="A3" s="77" t="s">
        <v>11</v>
      </c>
      <c r="B3" s="17" t="s">
        <v>46</v>
      </c>
      <c r="C3" s="14" t="s">
        <v>62</v>
      </c>
      <c r="D3" s="8">
        <v>92000</v>
      </c>
      <c r="E3" s="8">
        <v>2213</v>
      </c>
      <c r="F3" s="8">
        <v>0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idden="1">
      <c r="A4" s="77"/>
      <c r="B4" s="17" t="s">
        <v>118</v>
      </c>
      <c r="C4" s="35" t="s">
        <v>119</v>
      </c>
      <c r="D4" s="8">
        <v>104</v>
      </c>
      <c r="E4" s="8">
        <v>104</v>
      </c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s="4" customFormat="1" ht="24">
      <c r="A5" s="76" t="s">
        <v>13</v>
      </c>
      <c r="B5" s="75"/>
      <c r="C5" s="15" t="s">
        <v>26</v>
      </c>
      <c r="D5" s="16">
        <v>311973.09999999998</v>
      </c>
      <c r="E5" s="16">
        <v>278950.84999999998</v>
      </c>
      <c r="F5" s="16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48" hidden="1">
      <c r="A6" s="77"/>
      <c r="B6" s="17" t="s">
        <v>64</v>
      </c>
      <c r="C6" s="7" t="s">
        <v>65</v>
      </c>
      <c r="D6" s="8">
        <v>224829</v>
      </c>
      <c r="E6" s="8">
        <v>116347</v>
      </c>
      <c r="F6" s="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idden="1">
      <c r="A7" s="77"/>
      <c r="B7" s="17" t="s">
        <v>99</v>
      </c>
      <c r="C7" s="14" t="s">
        <v>100</v>
      </c>
      <c r="D7" s="8">
        <v>8200</v>
      </c>
      <c r="E7" s="8">
        <v>0</v>
      </c>
      <c r="F7" s="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4" customFormat="1">
      <c r="A8" s="78">
        <v>600</v>
      </c>
      <c r="B8" s="75"/>
      <c r="C8" s="18" t="s">
        <v>67</v>
      </c>
      <c r="D8" s="16">
        <v>6771728.0300000003</v>
      </c>
      <c r="E8" s="31">
        <v>6605817.2699999996</v>
      </c>
      <c r="F8" s="16">
        <f>F9</f>
        <v>262320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idden="1">
      <c r="A9" s="77"/>
      <c r="B9" s="17">
        <v>60014</v>
      </c>
      <c r="C9" s="14" t="s">
        <v>37</v>
      </c>
      <c r="D9" s="8">
        <v>1203064</v>
      </c>
      <c r="E9" s="8">
        <f>484309</f>
        <v>484309</v>
      </c>
      <c r="F9" s="8">
        <f>187452+34873+33469+5726+800</f>
        <v>262320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4" customFormat="1">
      <c r="A10" s="78">
        <v>700</v>
      </c>
      <c r="B10" s="75"/>
      <c r="C10" s="18" t="s">
        <v>27</v>
      </c>
      <c r="D10" s="16">
        <v>229027</v>
      </c>
      <c r="E10" s="16">
        <v>210550.13</v>
      </c>
      <c r="F10" s="16">
        <f>F11</f>
        <v>244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idden="1">
      <c r="A11" s="77" t="s">
        <v>11</v>
      </c>
      <c r="B11" s="19">
        <v>70005</v>
      </c>
      <c r="C11" s="14" t="s">
        <v>68</v>
      </c>
      <c r="D11" s="8">
        <v>205200</v>
      </c>
      <c r="E11" s="8">
        <v>144908</v>
      </c>
      <c r="F11" s="8">
        <v>244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4" customFormat="1" ht="18" customHeight="1">
      <c r="A12" s="78">
        <v>710</v>
      </c>
      <c r="B12" s="26"/>
      <c r="C12" s="18" t="s">
        <v>101</v>
      </c>
      <c r="D12" s="16">
        <v>415428.18</v>
      </c>
      <c r="E12" s="16">
        <v>415270.58</v>
      </c>
      <c r="F12" s="16">
        <f>F13+F14+F15</f>
        <v>53079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idden="1">
      <c r="A13" s="77"/>
      <c r="B13" s="19">
        <v>71013</v>
      </c>
      <c r="C13" s="14" t="s">
        <v>102</v>
      </c>
      <c r="D13" s="8">
        <v>50000</v>
      </c>
      <c r="E13" s="8">
        <v>0</v>
      </c>
      <c r="F13" s="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2.75" hidden="1" customHeight="1">
      <c r="A14" s="77"/>
      <c r="B14" s="19">
        <v>71014</v>
      </c>
      <c r="C14" s="7" t="s">
        <v>70</v>
      </c>
      <c r="D14" s="8">
        <v>20000</v>
      </c>
      <c r="E14" s="8">
        <v>0</v>
      </c>
      <c r="F14" s="8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3.5" hidden="1" customHeight="1">
      <c r="A15" s="77" t="s">
        <v>11</v>
      </c>
      <c r="B15" s="19">
        <v>71015</v>
      </c>
      <c r="C15" s="7" t="s">
        <v>71</v>
      </c>
      <c r="D15" s="8">
        <v>121900</v>
      </c>
      <c r="E15" s="8">
        <v>57990</v>
      </c>
      <c r="F15" s="8">
        <f>26643+11345+6066+7954+1071</f>
        <v>53079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3.5" hidden="1" customHeight="1">
      <c r="A16" s="77">
        <v>0</v>
      </c>
      <c r="B16" s="19">
        <v>71095</v>
      </c>
      <c r="C16" s="7" t="s">
        <v>72</v>
      </c>
      <c r="D16" s="8">
        <v>0</v>
      </c>
      <c r="E16" s="8">
        <v>0</v>
      </c>
      <c r="F16" s="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s="4" customFormat="1" ht="60" hidden="1">
      <c r="A17" s="78">
        <v>750</v>
      </c>
      <c r="B17" s="26"/>
      <c r="C17" s="15" t="s">
        <v>29</v>
      </c>
      <c r="D17" s="16">
        <v>3770270</v>
      </c>
      <c r="E17" s="16">
        <v>1940122</v>
      </c>
      <c r="F17" s="16">
        <f>F18+F21+F19+F20+F22</f>
        <v>1088502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48" hidden="1">
      <c r="A18" s="77" t="s">
        <v>11</v>
      </c>
      <c r="B18" s="19">
        <v>75011</v>
      </c>
      <c r="C18" s="7" t="s">
        <v>73</v>
      </c>
      <c r="D18" s="8">
        <v>98000</v>
      </c>
      <c r="E18" s="8">
        <v>48996</v>
      </c>
      <c r="F18" s="8">
        <v>48996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1:24" ht="36" hidden="1">
      <c r="A19" s="77"/>
      <c r="B19" s="19">
        <v>75019</v>
      </c>
      <c r="C19" s="7" t="s">
        <v>103</v>
      </c>
      <c r="D19" s="8">
        <v>172200</v>
      </c>
      <c r="E19" s="8">
        <v>76455</v>
      </c>
      <c r="F19" s="8">
        <v>0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 ht="48" hidden="1">
      <c r="A20" s="77"/>
      <c r="B20" s="19">
        <v>75020</v>
      </c>
      <c r="C20" s="7" t="s">
        <v>74</v>
      </c>
      <c r="D20" s="8">
        <v>2843856</v>
      </c>
      <c r="E20" s="8">
        <v>1524850</v>
      </c>
      <c r="F20" s="20">
        <f>734578+122354+126401+19171+28767</f>
        <v>1031271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ht="48" hidden="1">
      <c r="A21" s="77"/>
      <c r="B21" s="19">
        <v>75045</v>
      </c>
      <c r="C21" s="7" t="s">
        <v>75</v>
      </c>
      <c r="D21" s="8">
        <v>16162</v>
      </c>
      <c r="E21" s="8">
        <v>15620</v>
      </c>
      <c r="F21" s="20">
        <f>276+39+7920</f>
        <v>8235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1:24" ht="48" hidden="1">
      <c r="A22" s="77"/>
      <c r="B22" s="19">
        <v>75095</v>
      </c>
      <c r="C22" s="7" t="s">
        <v>72</v>
      </c>
      <c r="D22" s="8">
        <v>152377</v>
      </c>
      <c r="E22" s="8">
        <v>105202</v>
      </c>
      <c r="F22" s="8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</row>
    <row r="23" spans="1:24" s="4" customFormat="1" ht="48" hidden="1">
      <c r="A23" s="78">
        <v>752</v>
      </c>
      <c r="B23" s="26"/>
      <c r="C23" s="15" t="s">
        <v>48</v>
      </c>
      <c r="D23" s="16">
        <v>300</v>
      </c>
      <c r="E23" s="16">
        <v>299</v>
      </c>
      <c r="F23" s="16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ht="72" hidden="1">
      <c r="A24" s="77"/>
      <c r="B24" s="19">
        <v>75212</v>
      </c>
      <c r="C24" s="7" t="s">
        <v>49</v>
      </c>
      <c r="D24" s="8">
        <v>1000</v>
      </c>
      <c r="E24" s="8">
        <v>0</v>
      </c>
      <c r="F24" s="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s="4" customFormat="1" ht="84" hidden="1">
      <c r="A25" s="78">
        <v>754</v>
      </c>
      <c r="B25" s="26"/>
      <c r="C25" s="15" t="s">
        <v>104</v>
      </c>
      <c r="D25" s="16">
        <v>2201200</v>
      </c>
      <c r="E25" s="16">
        <v>1130720</v>
      </c>
      <c r="F25" s="16">
        <f>F27+F28</f>
        <v>751230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s="5" customFormat="1" ht="17.25" hidden="1" customHeight="1">
      <c r="A26" s="77"/>
      <c r="B26" s="19">
        <v>75404</v>
      </c>
      <c r="C26" s="7" t="s">
        <v>105</v>
      </c>
      <c r="D26" s="8">
        <v>30000</v>
      </c>
      <c r="E26" s="8">
        <v>30000</v>
      </c>
      <c r="F26" s="8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ht="108" hidden="1">
      <c r="A27" s="77"/>
      <c r="B27" s="19">
        <v>75411</v>
      </c>
      <c r="C27" s="7" t="s">
        <v>106</v>
      </c>
      <c r="D27" s="8">
        <v>2090222</v>
      </c>
      <c r="E27" s="8">
        <v>1063335</v>
      </c>
      <c r="F27" s="8">
        <f>6532+639846+116+103411+1168+157</f>
        <v>751230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1:24" ht="48" hidden="1">
      <c r="A28" s="77"/>
      <c r="B28" s="19">
        <v>75414</v>
      </c>
      <c r="C28" s="7" t="s">
        <v>76</v>
      </c>
      <c r="D28" s="8">
        <v>0</v>
      </c>
      <c r="E28" s="8">
        <v>0</v>
      </c>
      <c r="F28" s="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s="4" customFormat="1" ht="60" hidden="1">
      <c r="A29" s="78">
        <v>757</v>
      </c>
      <c r="B29" s="26"/>
      <c r="C29" s="15" t="s">
        <v>107</v>
      </c>
      <c r="D29" s="16">
        <v>440685</v>
      </c>
      <c r="E29" s="16">
        <v>249247</v>
      </c>
      <c r="F29" s="16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ht="23.25" hidden="1" customHeight="1">
      <c r="A30" s="77"/>
      <c r="B30" s="19">
        <v>75702</v>
      </c>
      <c r="C30" s="7" t="s">
        <v>108</v>
      </c>
      <c r="D30" s="8">
        <v>525430</v>
      </c>
      <c r="E30" s="8">
        <v>380834</v>
      </c>
      <c r="F30" s="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23.25" customHeight="1">
      <c r="A31" s="77">
        <v>750</v>
      </c>
      <c r="B31" s="19"/>
      <c r="C31" s="7"/>
      <c r="D31" s="8">
        <v>6813906.29</v>
      </c>
      <c r="E31" s="8">
        <v>6555659.2599999998</v>
      </c>
      <c r="F31" s="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23.25" customHeight="1">
      <c r="A32" s="77">
        <v>754</v>
      </c>
      <c r="B32" s="19"/>
      <c r="C32" s="7"/>
      <c r="D32" s="8">
        <v>3279843</v>
      </c>
      <c r="E32" s="8">
        <v>3172793.71</v>
      </c>
      <c r="F32" s="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23.25" customHeight="1">
      <c r="A33" s="77">
        <v>757</v>
      </c>
      <c r="B33" s="19"/>
      <c r="C33" s="7"/>
      <c r="D33" s="8">
        <v>943000</v>
      </c>
      <c r="E33" s="8">
        <v>917930.66</v>
      </c>
      <c r="F33" s="8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23.25" customHeight="1">
      <c r="A34" s="356">
        <v>758</v>
      </c>
      <c r="B34" s="19"/>
      <c r="C34" s="7"/>
      <c r="D34" s="8">
        <v>11957.14</v>
      </c>
      <c r="E34" s="8"/>
      <c r="F34" s="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:24" s="4" customFormat="1" ht="60">
      <c r="A35" s="78">
        <v>801</v>
      </c>
      <c r="B35" s="26"/>
      <c r="C35" s="15" t="s">
        <v>52</v>
      </c>
      <c r="D35" s="16">
        <v>15883555.970000001</v>
      </c>
      <c r="E35" s="16">
        <v>15682257.550000001</v>
      </c>
      <c r="F35" s="16">
        <f>SUM(F36:F43)</f>
        <v>3689871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72" hidden="1">
      <c r="A36" s="77"/>
      <c r="B36" s="19">
        <v>80102</v>
      </c>
      <c r="C36" s="7" t="s">
        <v>39</v>
      </c>
      <c r="D36" s="8">
        <v>505078</v>
      </c>
      <c r="E36" s="8">
        <v>331232</v>
      </c>
      <c r="F36" s="20">
        <f>196206+26135+37238+5208+450</f>
        <v>265237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1:24" ht="48" hidden="1">
      <c r="A37" s="77"/>
      <c r="B37" s="19">
        <v>80111</v>
      </c>
      <c r="C37" s="7" t="s">
        <v>109</v>
      </c>
      <c r="D37" s="8">
        <v>475749</v>
      </c>
      <c r="E37" s="8">
        <v>298949</v>
      </c>
      <c r="F37" s="20">
        <f>E37-16937</f>
        <v>282012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1:24" ht="48" hidden="1">
      <c r="A38" s="77"/>
      <c r="B38" s="19">
        <v>80120</v>
      </c>
      <c r="C38" s="7" t="s">
        <v>45</v>
      </c>
      <c r="D38" s="8">
        <v>6261477</v>
      </c>
      <c r="E38" s="8">
        <f>1416382</f>
        <v>1416382</v>
      </c>
      <c r="F38" s="8">
        <f>719401+108702+140170+19592+5607</f>
        <v>993472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:24" ht="36" hidden="1">
      <c r="A39" s="77"/>
      <c r="B39" s="19">
        <v>80123</v>
      </c>
      <c r="C39" s="7" t="s">
        <v>40</v>
      </c>
      <c r="D39" s="20">
        <v>1774906</v>
      </c>
      <c r="E39" s="20">
        <v>1075369</v>
      </c>
      <c r="F39" s="20">
        <f>584273+89310+117937+15966</f>
        <v>807486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 ht="36" hidden="1">
      <c r="A40" s="77"/>
      <c r="B40" s="19">
        <v>80130</v>
      </c>
      <c r="C40" s="7" t="s">
        <v>41</v>
      </c>
      <c r="D40" s="20">
        <v>3313174</v>
      </c>
      <c r="E40" s="20">
        <v>2096781</v>
      </c>
      <c r="F40" s="20">
        <f>916626+140181+184575+25295+11296</f>
        <v>1277973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:24" ht="60" hidden="1">
      <c r="A41" s="77"/>
      <c r="B41" s="19">
        <v>80134</v>
      </c>
      <c r="C41" s="7" t="s">
        <v>110</v>
      </c>
      <c r="D41" s="8">
        <v>136812</v>
      </c>
      <c r="E41" s="8">
        <v>72783</v>
      </c>
      <c r="F41" s="8">
        <f>47352+5517+9525+1297</f>
        <v>63691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:24" ht="12.75" hidden="1" customHeight="1">
      <c r="A42" s="77"/>
      <c r="B42" s="19">
        <v>80146</v>
      </c>
      <c r="C42" s="7" t="s">
        <v>82</v>
      </c>
      <c r="D42" s="8">
        <f>54969-11722</f>
        <v>43247</v>
      </c>
      <c r="E42" s="8">
        <v>0</v>
      </c>
      <c r="F42" s="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 ht="48" hidden="1">
      <c r="A43" s="77"/>
      <c r="B43" s="19">
        <v>80195</v>
      </c>
      <c r="C43" s="7" t="s">
        <v>72</v>
      </c>
      <c r="D43" s="8">
        <v>64531</v>
      </c>
      <c r="E43" s="8">
        <v>48400</v>
      </c>
      <c r="F43" s="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 ht="84" hidden="1">
      <c r="A44" s="77"/>
      <c r="B44" s="19">
        <v>80309</v>
      </c>
      <c r="C44" s="7" t="s">
        <v>120</v>
      </c>
      <c r="D44" s="8">
        <v>49764</v>
      </c>
      <c r="E44" s="8">
        <v>20016</v>
      </c>
      <c r="F44" s="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4" s="4" customFormat="1" ht="13.5" customHeight="1">
      <c r="A45" s="78">
        <v>851</v>
      </c>
      <c r="B45" s="26"/>
      <c r="C45" s="21" t="s">
        <v>32</v>
      </c>
      <c r="D45" s="16">
        <v>5928992.1200000001</v>
      </c>
      <c r="E45" s="16">
        <v>5907257.4400000004</v>
      </c>
      <c r="F45" s="16">
        <f>F48+F46+F47</f>
        <v>959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s="5" customFormat="1" ht="12" hidden="1" customHeight="1">
      <c r="A46" s="77"/>
      <c r="B46" s="19">
        <v>85111</v>
      </c>
      <c r="C46" s="9" t="s">
        <v>83</v>
      </c>
      <c r="D46" s="8">
        <v>344145</v>
      </c>
      <c r="E46" s="8">
        <v>44135</v>
      </c>
      <c r="F46" s="8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s="5" customFormat="1" ht="12.75" hidden="1" customHeight="1">
      <c r="A47" s="77"/>
      <c r="B47" s="19">
        <v>85154</v>
      </c>
      <c r="C47" s="9" t="s">
        <v>84</v>
      </c>
      <c r="D47" s="8">
        <v>26380</v>
      </c>
      <c r="E47" s="8">
        <v>5206</v>
      </c>
      <c r="F47" s="8">
        <v>959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hidden="1">
      <c r="A48" s="77"/>
      <c r="B48" s="19">
        <v>85156</v>
      </c>
      <c r="C48" s="11" t="s">
        <v>85</v>
      </c>
      <c r="D48" s="8">
        <v>1168000</v>
      </c>
      <c r="E48" s="8">
        <v>433496</v>
      </c>
      <c r="F48" s="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:24" ht="48" hidden="1">
      <c r="A49" s="77"/>
      <c r="B49" s="19">
        <v>85195</v>
      </c>
      <c r="C49" s="7" t="s">
        <v>72</v>
      </c>
      <c r="D49" s="8">
        <v>2000</v>
      </c>
      <c r="E49" s="8">
        <v>0</v>
      </c>
      <c r="F49" s="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  <row r="50" spans="1:24" s="4" customFormat="1" ht="48">
      <c r="A50" s="78">
        <v>852</v>
      </c>
      <c r="B50" s="26"/>
      <c r="C50" s="15" t="s">
        <v>33</v>
      </c>
      <c r="D50" s="16">
        <v>10604137.859999999</v>
      </c>
      <c r="E50" s="16">
        <v>10538600.359999999</v>
      </c>
      <c r="F50" s="16">
        <f>F53+F56+F51+F52+F54+F57</f>
        <v>684308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s="5" customFormat="1" ht="12.75" hidden="1" customHeight="1">
      <c r="A51" s="77"/>
      <c r="B51" s="19">
        <v>85201</v>
      </c>
      <c r="C51" s="7" t="s">
        <v>86</v>
      </c>
      <c r="D51" s="8">
        <v>1748865</v>
      </c>
      <c r="E51" s="8">
        <v>862369</v>
      </c>
      <c r="F51" s="8">
        <f>343035+60335+70550+10165+19956</f>
        <v>504041</v>
      </c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s="5" customFormat="1" ht="60" hidden="1">
      <c r="A52" s="77"/>
      <c r="B52" s="19">
        <v>85202</v>
      </c>
      <c r="C52" s="7" t="s">
        <v>87</v>
      </c>
      <c r="D52" s="8">
        <v>2496156</v>
      </c>
      <c r="E52" s="8">
        <v>1300359</v>
      </c>
      <c r="F52" s="8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ht="48" hidden="1">
      <c r="A53" s="77"/>
      <c r="B53" s="19">
        <v>85203</v>
      </c>
      <c r="C53" s="7" t="s">
        <v>88</v>
      </c>
      <c r="D53" s="8">
        <v>243003</v>
      </c>
      <c r="E53" s="20">
        <v>114960</v>
      </c>
      <c r="F53" s="20">
        <f>61257+5173+12453+1920+6180</f>
        <v>86983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</row>
    <row r="54" spans="1:24" ht="48" hidden="1">
      <c r="A54" s="77"/>
      <c r="B54" s="19">
        <v>85204</v>
      </c>
      <c r="C54" s="7" t="s">
        <v>111</v>
      </c>
      <c r="D54" s="8">
        <v>1245313</v>
      </c>
      <c r="E54" s="8">
        <v>596254</v>
      </c>
      <c r="F54" s="20">
        <f>2012+278+12897</f>
        <v>15187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spans="1:24" ht="37.5" hidden="1" customHeight="1">
      <c r="A55" s="77"/>
      <c r="B55" s="19">
        <v>85212</v>
      </c>
      <c r="C55" s="7" t="s">
        <v>112</v>
      </c>
      <c r="D55" s="8">
        <v>12784</v>
      </c>
      <c r="E55" s="8">
        <v>6000</v>
      </c>
      <c r="F55" s="20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</row>
    <row r="56" spans="1:24" ht="12.75" hidden="1" customHeight="1">
      <c r="A56" s="77"/>
      <c r="B56" s="19">
        <v>85216</v>
      </c>
      <c r="C56" s="7" t="s">
        <v>89</v>
      </c>
      <c r="D56" s="8">
        <v>0</v>
      </c>
      <c r="E56" s="8">
        <v>0</v>
      </c>
      <c r="F56" s="8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ht="12.75" hidden="1" customHeight="1">
      <c r="A57" s="77"/>
      <c r="B57" s="19">
        <v>85218</v>
      </c>
      <c r="C57" s="7" t="s">
        <v>90</v>
      </c>
      <c r="D57" s="8">
        <v>273622</v>
      </c>
      <c r="E57" s="8">
        <v>125136</v>
      </c>
      <c r="F57" s="20">
        <f>53563+10904+10074+2006+1550</f>
        <v>78097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</row>
    <row r="58" spans="1:24" ht="12.75" hidden="1" customHeight="1">
      <c r="A58" s="77"/>
      <c r="B58" s="19">
        <v>85233</v>
      </c>
      <c r="C58" s="7" t="s">
        <v>82</v>
      </c>
      <c r="D58" s="8">
        <v>4015</v>
      </c>
      <c r="E58" s="8">
        <v>0</v>
      </c>
      <c r="F58" s="20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</row>
    <row r="59" spans="1:24" ht="12.75" hidden="1" customHeight="1">
      <c r="A59" s="77"/>
      <c r="B59" s="19">
        <v>85295</v>
      </c>
      <c r="C59" s="7" t="s">
        <v>72</v>
      </c>
      <c r="D59" s="8">
        <v>7000</v>
      </c>
      <c r="E59" s="8">
        <v>7000</v>
      </c>
      <c r="F59" s="20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spans="1:24" s="4" customFormat="1" ht="108">
      <c r="A60" s="78">
        <v>853</v>
      </c>
      <c r="B60" s="26"/>
      <c r="C60" s="15" t="s">
        <v>113</v>
      </c>
      <c r="D60" s="16">
        <v>3860441.03</v>
      </c>
      <c r="E60" s="16">
        <v>3839703.99</v>
      </c>
      <c r="F60" s="16">
        <f>F61+F62</f>
        <v>419015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ht="12" hidden="1" customHeight="1">
      <c r="A61" s="551"/>
      <c r="B61" s="19">
        <v>85321</v>
      </c>
      <c r="C61" s="7" t="s">
        <v>114</v>
      </c>
      <c r="D61" s="8">
        <v>71000</v>
      </c>
      <c r="E61" s="8">
        <v>32763</v>
      </c>
      <c r="F61" s="8">
        <f>12229+2910+2329+424+2484</f>
        <v>20376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</row>
    <row r="62" spans="1:24" ht="14.25" hidden="1" customHeight="1">
      <c r="A62" s="551"/>
      <c r="B62" s="19">
        <v>85333</v>
      </c>
      <c r="C62" s="22" t="s">
        <v>92</v>
      </c>
      <c r="D62" s="8">
        <v>873528</v>
      </c>
      <c r="E62" s="8">
        <v>451979</v>
      </c>
      <c r="F62" s="8">
        <f>280495+55514+50402+7070+5158</f>
        <v>398639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ht="14.25" hidden="1" customHeight="1">
      <c r="A63" s="551"/>
      <c r="B63" s="19">
        <v>85334</v>
      </c>
      <c r="C63" s="9" t="s">
        <v>123</v>
      </c>
      <c r="D63" s="8">
        <v>55903</v>
      </c>
      <c r="E63" s="8">
        <v>55903</v>
      </c>
      <c r="F63" s="8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</row>
    <row r="64" spans="1:24" s="4" customFormat="1" ht="12.75" customHeight="1">
      <c r="A64" s="79">
        <v>854</v>
      </c>
      <c r="B64" s="26" t="s">
        <v>11</v>
      </c>
      <c r="C64" s="23" t="s">
        <v>93</v>
      </c>
      <c r="D64" s="16">
        <v>5873265.3200000003</v>
      </c>
      <c r="E64" s="16">
        <v>5806791.3899999997</v>
      </c>
      <c r="F64" s="16">
        <f>SUM(F65:F72)</f>
        <v>901223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ht="96" hidden="1">
      <c r="A65" s="551"/>
      <c r="B65" s="19">
        <v>85406</v>
      </c>
      <c r="C65" s="22" t="s">
        <v>42</v>
      </c>
      <c r="D65" s="8">
        <v>465439</v>
      </c>
      <c r="E65" s="8">
        <v>284568</v>
      </c>
      <c r="F65" s="20">
        <f>170636+27331+34466+5276+1881</f>
        <v>239590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ht="12.75" hidden="1" customHeight="1">
      <c r="A66" s="551"/>
      <c r="B66" s="19">
        <v>85407</v>
      </c>
      <c r="C66" s="22" t="s">
        <v>43</v>
      </c>
      <c r="D66" s="8">
        <v>313359</v>
      </c>
      <c r="E66" s="8">
        <v>185895</v>
      </c>
      <c r="F66" s="20">
        <f>80368+12184+14222+2210+43058</f>
        <v>152042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</row>
    <row r="67" spans="1:24" ht="60" hidden="1">
      <c r="A67" s="551"/>
      <c r="B67" s="19">
        <v>85410</v>
      </c>
      <c r="C67" s="22" t="s">
        <v>44</v>
      </c>
      <c r="D67" s="20">
        <v>869259</v>
      </c>
      <c r="E67" s="8">
        <v>622117</v>
      </c>
      <c r="F67" s="20">
        <f>187642+37269+50719+6507</f>
        <v>282137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</row>
    <row r="68" spans="1:24" ht="33" hidden="1" customHeight="1">
      <c r="A68" s="551"/>
      <c r="B68" s="19">
        <v>85412</v>
      </c>
      <c r="C68" s="10" t="s">
        <v>124</v>
      </c>
      <c r="D68" s="20">
        <v>26</v>
      </c>
      <c r="E68" s="8"/>
      <c r="F68" s="20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spans="1:24" ht="84" hidden="1">
      <c r="A69" s="551"/>
      <c r="B69" s="19">
        <v>85415</v>
      </c>
      <c r="C69" s="7" t="s">
        <v>95</v>
      </c>
      <c r="D69" s="20">
        <v>311309</v>
      </c>
      <c r="E69" s="8">
        <v>89163</v>
      </c>
      <c r="F69" s="20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</row>
    <row r="70" spans="1:24" ht="84" hidden="1">
      <c r="A70" s="551"/>
      <c r="B70" s="19">
        <v>85420</v>
      </c>
      <c r="C70" s="22" t="s">
        <v>117</v>
      </c>
      <c r="D70" s="20">
        <v>737219</v>
      </c>
      <c r="E70" s="8">
        <v>365313</v>
      </c>
      <c r="F70" s="20">
        <f>192739+2379+27686+4650</f>
        <v>227454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ht="12" hidden="1" customHeight="1">
      <c r="A71" s="551"/>
      <c r="B71" s="19">
        <v>85446</v>
      </c>
      <c r="C71" s="7" t="s">
        <v>82</v>
      </c>
      <c r="D71" s="20">
        <v>7707</v>
      </c>
      <c r="E71" s="8">
        <v>0</v>
      </c>
      <c r="F71" s="20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</row>
    <row r="72" spans="1:24" ht="48" hidden="1">
      <c r="A72" s="551"/>
      <c r="B72" s="19">
        <v>85495</v>
      </c>
      <c r="C72" s="22" t="s">
        <v>72</v>
      </c>
      <c r="D72" s="8">
        <v>11690</v>
      </c>
      <c r="E72" s="8">
        <v>8766</v>
      </c>
      <c r="F72" s="8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</row>
    <row r="73" spans="1:24" s="4" customFormat="1" ht="108" hidden="1">
      <c r="A73" s="78">
        <v>921</v>
      </c>
      <c r="B73" s="24"/>
      <c r="C73" s="15" t="s">
        <v>115</v>
      </c>
      <c r="D73" s="16">
        <f>D74+D75</f>
        <v>0</v>
      </c>
      <c r="E73" s="16">
        <f>E74+E75</f>
        <v>0</v>
      </c>
      <c r="F73" s="16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84" hidden="1">
      <c r="A74" s="551"/>
      <c r="B74" s="25">
        <v>92105</v>
      </c>
      <c r="C74" s="7" t="s">
        <v>116</v>
      </c>
      <c r="D74" s="8">
        <v>0</v>
      </c>
      <c r="E74" s="8"/>
      <c r="F74" s="8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</row>
    <row r="75" spans="1:24" ht="48" hidden="1">
      <c r="A75" s="551"/>
      <c r="B75" s="25">
        <v>92195</v>
      </c>
      <c r="C75" s="7" t="s">
        <v>72</v>
      </c>
      <c r="D75" s="8">
        <v>0</v>
      </c>
      <c r="E75" s="8">
        <v>0</v>
      </c>
      <c r="F75" s="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</row>
    <row r="76" spans="1:24" ht="30" customHeight="1">
      <c r="A76" s="78">
        <v>921</v>
      </c>
      <c r="B76" s="25"/>
      <c r="C76" s="15" t="s">
        <v>136</v>
      </c>
      <c r="D76" s="16">
        <v>162800</v>
      </c>
      <c r="E76" s="16">
        <v>157065.91</v>
      </c>
      <c r="F76" s="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</row>
    <row r="77" spans="1:24" s="4" customFormat="1" ht="60">
      <c r="A77" s="78">
        <v>926</v>
      </c>
      <c r="B77" s="24"/>
      <c r="C77" s="15" t="s">
        <v>96</v>
      </c>
      <c r="D77" s="16">
        <v>1118342.9099999999</v>
      </c>
      <c r="E77" s="16">
        <v>1105488.52</v>
      </c>
      <c r="F77" s="16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ht="96" hidden="1">
      <c r="A78" s="77"/>
      <c r="B78" s="25">
        <v>92605</v>
      </c>
      <c r="C78" s="7" t="s">
        <v>97</v>
      </c>
      <c r="D78" s="8">
        <v>51000</v>
      </c>
      <c r="E78" s="33">
        <v>25029</v>
      </c>
      <c r="F78" s="8">
        <v>0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</row>
    <row r="79" spans="1:24">
      <c r="A79" s="80"/>
      <c r="D79" s="29">
        <f>D77+D76+D64+D60+D50+D45+D35+D33+D32+D31+D12+D10+D8+D34+D5+D2</f>
        <v>62258722.950000003</v>
      </c>
      <c r="E79" s="29">
        <f>E77+E76+E64+E60+E50+E45+E35+E33+E32+E31+E12+E10+E8+E34+E5+E2</f>
        <v>61244296.619999997</v>
      </c>
    </row>
    <row r="80" spans="1:24">
      <c r="A80" s="80"/>
    </row>
    <row r="81" spans="1:1">
      <c r="A81" s="80"/>
    </row>
    <row r="92" spans="1:1" ht="74.25" customHeight="1"/>
    <row r="93" spans="1:1" ht="23.25" customHeight="1"/>
    <row r="102" spans="1:6" ht="45" customHeight="1"/>
    <row r="109" spans="1:6" ht="3" customHeight="1"/>
    <row r="110" spans="1:6" ht="15" hidden="1">
      <c r="A110" s="550"/>
      <c r="B110" s="550"/>
      <c r="C110" s="550"/>
      <c r="D110" s="550"/>
      <c r="E110" s="550"/>
      <c r="F110" s="550"/>
    </row>
    <row r="111" spans="1:6" hidden="1"/>
    <row r="112" spans="1:6" hidden="1"/>
    <row r="117" ht="30.75" customHeight="1"/>
    <row r="118" hidden="1"/>
    <row r="119" hidden="1"/>
    <row r="120" hidden="1"/>
    <row r="121" hidden="1"/>
    <row r="122" hidden="1"/>
    <row r="123" hidden="1"/>
    <row r="124" hidden="1"/>
    <row r="125" hidden="1"/>
  </sheetData>
  <mergeCells count="4">
    <mergeCell ref="A110:F110"/>
    <mergeCell ref="A61:A63"/>
    <mergeCell ref="A65:A72"/>
    <mergeCell ref="A74:A75"/>
  </mergeCells>
  <phoneticPr fontId="0" type="noConversion"/>
  <pageMargins left="0.7" right="0.7" top="0.75" bottom="0.75" header="0.3" footer="0.3"/>
  <pageSetup paperSize="9" orientation="portrait" copies="7" r:id="rId1"/>
  <headerFooter>
    <oddFooter>&amp;CWykres wydatków Powiatu Białogardzkiego w roku 2011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E14"/>
  <sheetViews>
    <sheetView view="pageLayout" workbookViewId="0">
      <selection activeCell="F15" sqref="F15"/>
    </sheetView>
  </sheetViews>
  <sheetFormatPr defaultRowHeight="12.75"/>
  <cols>
    <col min="1" max="1" width="42.28515625" customWidth="1"/>
    <col min="2" max="2" width="17.140625" customWidth="1"/>
  </cols>
  <sheetData>
    <row r="2" spans="1:5" ht="15.75">
      <c r="A2" s="552" t="s">
        <v>478</v>
      </c>
      <c r="B2" s="552"/>
      <c r="C2" s="552"/>
      <c r="D2" s="552"/>
      <c r="E2" s="552"/>
    </row>
    <row r="5" spans="1:5">
      <c r="A5" s="473" t="s">
        <v>475</v>
      </c>
      <c r="B5" s="474">
        <f>'tab3'!N92</f>
        <v>7912631.9300000006</v>
      </c>
    </row>
    <row r="6" spans="1:5">
      <c r="A6" s="473" t="s">
        <v>470</v>
      </c>
      <c r="B6" s="474">
        <f>'tab3'!O92</f>
        <v>764280.47</v>
      </c>
    </row>
    <row r="7" spans="1:5">
      <c r="A7" s="473" t="s">
        <v>476</v>
      </c>
      <c r="B7" s="473">
        <v>1397226.45</v>
      </c>
    </row>
    <row r="8" spans="1:5">
      <c r="A8" s="473" t="s">
        <v>471</v>
      </c>
      <c r="B8" s="474">
        <f>'tab3'!G92</f>
        <v>25238693.229999993</v>
      </c>
    </row>
    <row r="9" spans="1:5">
      <c r="A9" s="473" t="s">
        <v>472</v>
      </c>
      <c r="B9" s="474">
        <f>'tab3'!J92</f>
        <v>2372243.4700000002</v>
      </c>
    </row>
    <row r="10" spans="1:5">
      <c r="A10" t="s">
        <v>473</v>
      </c>
      <c r="B10" s="174">
        <f>'tab3'!L92</f>
        <v>917930.66</v>
      </c>
    </row>
    <row r="11" spans="1:5">
      <c r="A11" t="s">
        <v>474</v>
      </c>
      <c r="B11" s="174">
        <f>'tab3'!H92</f>
        <v>12819671.020000001</v>
      </c>
    </row>
    <row r="12" spans="1:5">
      <c r="A12" t="s">
        <v>211</v>
      </c>
      <c r="B12" s="174">
        <f>'tab3'!I92</f>
        <v>8408104.0700000003</v>
      </c>
    </row>
    <row r="13" spans="1:5">
      <c r="A13" t="s">
        <v>477</v>
      </c>
      <c r="B13" s="174">
        <f>'tab3'!K92</f>
        <v>1413515.32</v>
      </c>
    </row>
    <row r="14" spans="1:5">
      <c r="B14" s="174">
        <f>SUM(B5:B13)</f>
        <v>61244296.61999999</v>
      </c>
    </row>
  </sheetData>
  <mergeCells count="1">
    <mergeCell ref="A2:E2"/>
  </mergeCells>
  <pageMargins left="0.7" right="0.7" top="0.75" bottom="0.75" header="0.3" footer="0.3"/>
  <pageSetup paperSize="9" orientation="portrait" copies="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6"/>
  <sheetViews>
    <sheetView view="pageLayout" workbookViewId="0">
      <selection activeCell="A5" sqref="A5"/>
    </sheetView>
  </sheetViews>
  <sheetFormatPr defaultRowHeight="12.75"/>
  <cols>
    <col min="1" max="1" width="7.140625" customWidth="1"/>
    <col min="2" max="2" width="33.42578125" customWidth="1"/>
    <col min="3" max="3" width="10.5703125" customWidth="1"/>
    <col min="4" max="4" width="15.7109375" customWidth="1"/>
    <col min="5" max="5" width="14.5703125" customWidth="1"/>
  </cols>
  <sheetData>
    <row r="1" spans="1:5">
      <c r="A1" s="194"/>
      <c r="B1" s="194"/>
      <c r="C1" s="194"/>
      <c r="D1" s="194"/>
      <c r="E1" s="195" t="s">
        <v>253</v>
      </c>
    </row>
    <row r="2" spans="1:5" ht="15.75">
      <c r="A2" s="553" t="s">
        <v>217</v>
      </c>
      <c r="B2" s="554"/>
      <c r="C2" s="554"/>
      <c r="D2" s="554"/>
      <c r="E2" s="554"/>
    </row>
    <row r="3" spans="1:5" ht="15.75">
      <c r="A3" s="554" t="s">
        <v>218</v>
      </c>
      <c r="B3" s="554"/>
      <c r="C3" s="554"/>
      <c r="D3" s="554"/>
      <c r="E3" s="554"/>
    </row>
    <row r="4" spans="1:5" ht="15.75">
      <c r="A4" s="554" t="s">
        <v>367</v>
      </c>
      <c r="B4" s="554"/>
      <c r="C4" s="554"/>
      <c r="D4" s="554"/>
      <c r="E4" s="554"/>
    </row>
    <row r="5" spans="1:5">
      <c r="A5" s="194"/>
      <c r="B5" s="194"/>
      <c r="C5" s="194"/>
      <c r="D5" s="194"/>
      <c r="E5" s="196" t="s">
        <v>161</v>
      </c>
    </row>
    <row r="6" spans="1:5" ht="38.25">
      <c r="A6" s="197" t="s">
        <v>171</v>
      </c>
      <c r="B6" s="197" t="s">
        <v>153</v>
      </c>
      <c r="C6" s="198" t="s">
        <v>219</v>
      </c>
      <c r="D6" s="198" t="s">
        <v>134</v>
      </c>
      <c r="E6" s="198" t="s">
        <v>250</v>
      </c>
    </row>
    <row r="7" spans="1:5">
      <c r="A7" s="199">
        <v>1</v>
      </c>
      <c r="B7" s="199">
        <v>2</v>
      </c>
      <c r="C7" s="199">
        <v>3</v>
      </c>
      <c r="D7" s="199">
        <v>4</v>
      </c>
      <c r="E7" s="199">
        <v>5</v>
      </c>
    </row>
    <row r="8" spans="1:5">
      <c r="A8" s="555" t="s">
        <v>220</v>
      </c>
      <c r="B8" s="555"/>
      <c r="C8" s="200"/>
      <c r="D8" s="220">
        <f>D9+D16+D12</f>
        <v>10454440.25</v>
      </c>
      <c r="E8" s="201">
        <f>E9+E16+E12</f>
        <v>10454440.25</v>
      </c>
    </row>
    <row r="9" spans="1:5">
      <c r="A9" s="202" t="s">
        <v>181</v>
      </c>
      <c r="B9" s="203" t="s">
        <v>221</v>
      </c>
      <c r="C9" s="202" t="s">
        <v>222</v>
      </c>
      <c r="D9" s="216">
        <v>8145271.4199999999</v>
      </c>
      <c r="E9" s="204">
        <v>8145271.4199999999</v>
      </c>
    </row>
    <row r="10" spans="1:5">
      <c r="A10" s="205" t="s">
        <v>182</v>
      </c>
      <c r="B10" s="206" t="s">
        <v>223</v>
      </c>
      <c r="C10" s="205" t="s">
        <v>222</v>
      </c>
      <c r="D10" s="217"/>
      <c r="E10" s="207"/>
    </row>
    <row r="11" spans="1:5" ht="38.25">
      <c r="A11" s="205" t="s">
        <v>183</v>
      </c>
      <c r="B11" s="208" t="s">
        <v>249</v>
      </c>
      <c r="C11" s="205" t="s">
        <v>224</v>
      </c>
      <c r="D11" s="217"/>
      <c r="E11" s="207"/>
    </row>
    <row r="12" spans="1:5">
      <c r="A12" s="205" t="s">
        <v>199</v>
      </c>
      <c r="B12" s="206" t="s">
        <v>225</v>
      </c>
      <c r="C12" s="205" t="s">
        <v>226</v>
      </c>
      <c r="D12" s="217">
        <v>0</v>
      </c>
      <c r="E12" s="207">
        <v>0</v>
      </c>
    </row>
    <row r="13" spans="1:5">
      <c r="A13" s="205" t="s">
        <v>200</v>
      </c>
      <c r="B13" s="206" t="s">
        <v>227</v>
      </c>
      <c r="C13" s="205" t="s">
        <v>228</v>
      </c>
      <c r="D13" s="217"/>
      <c r="E13" s="207"/>
    </row>
    <row r="14" spans="1:5">
      <c r="A14" s="205" t="s">
        <v>201</v>
      </c>
      <c r="B14" s="206" t="s">
        <v>229</v>
      </c>
      <c r="C14" s="205" t="s">
        <v>230</v>
      </c>
      <c r="D14" s="217"/>
      <c r="E14" s="207"/>
    </row>
    <row r="15" spans="1:5">
      <c r="A15" s="205" t="s">
        <v>202</v>
      </c>
      <c r="B15" s="206" t="s">
        <v>231</v>
      </c>
      <c r="C15" s="205" t="s">
        <v>232</v>
      </c>
      <c r="D15" s="217"/>
      <c r="E15" s="207"/>
    </row>
    <row r="16" spans="1:5">
      <c r="A16" s="205" t="s">
        <v>203</v>
      </c>
      <c r="B16" s="209" t="s">
        <v>233</v>
      </c>
      <c r="C16" s="210" t="s">
        <v>234</v>
      </c>
      <c r="D16" s="218">
        <v>2309168.83</v>
      </c>
      <c r="E16" s="211">
        <v>2309168.83</v>
      </c>
    </row>
    <row r="17" spans="1:5">
      <c r="A17" s="555" t="s">
        <v>235</v>
      </c>
      <c r="B17" s="555"/>
      <c r="C17" s="200"/>
      <c r="D17" s="219">
        <f>D18+D23+D21</f>
        <v>2000000</v>
      </c>
      <c r="E17" s="201">
        <f>E18+E19+E23+E21</f>
        <v>2000000</v>
      </c>
    </row>
    <row r="18" spans="1:5">
      <c r="A18" s="202" t="s">
        <v>181</v>
      </c>
      <c r="B18" s="203" t="s">
        <v>236</v>
      </c>
      <c r="C18" s="202" t="s">
        <v>237</v>
      </c>
      <c r="D18" s="216">
        <v>2000000</v>
      </c>
      <c r="E18" s="204">
        <v>2000000</v>
      </c>
    </row>
    <row r="19" spans="1:5">
      <c r="A19" s="205" t="s">
        <v>182</v>
      </c>
      <c r="B19" s="206" t="s">
        <v>238</v>
      </c>
      <c r="C19" s="205" t="s">
        <v>237</v>
      </c>
      <c r="D19" s="217"/>
      <c r="E19" s="207">
        <v>0</v>
      </c>
    </row>
    <row r="20" spans="1:5" ht="51">
      <c r="A20" s="205" t="s">
        <v>183</v>
      </c>
      <c r="B20" s="208" t="s">
        <v>239</v>
      </c>
      <c r="C20" s="205" t="s">
        <v>240</v>
      </c>
      <c r="D20" s="217"/>
      <c r="E20" s="207"/>
    </row>
    <row r="21" spans="1:5">
      <c r="A21" s="205" t="s">
        <v>199</v>
      </c>
      <c r="B21" s="206" t="s">
        <v>241</v>
      </c>
      <c r="C21" s="205" t="s">
        <v>242</v>
      </c>
      <c r="D21" s="217">
        <v>0</v>
      </c>
      <c r="E21" s="207">
        <v>0</v>
      </c>
    </row>
    <row r="22" spans="1:5">
      <c r="A22" s="205" t="s">
        <v>200</v>
      </c>
      <c r="B22" s="206" t="s">
        <v>243</v>
      </c>
      <c r="C22" s="205" t="s">
        <v>244</v>
      </c>
      <c r="D22" s="217"/>
      <c r="E22" s="207"/>
    </row>
    <row r="23" spans="1:5" ht="25.5">
      <c r="A23" s="205" t="s">
        <v>201</v>
      </c>
      <c r="B23" s="208" t="s">
        <v>245</v>
      </c>
      <c r="C23" s="205" t="s">
        <v>246</v>
      </c>
      <c r="D23" s="217">
        <v>0</v>
      </c>
      <c r="E23" s="207">
        <v>0</v>
      </c>
    </row>
    <row r="24" spans="1:5">
      <c r="A24" s="210" t="s">
        <v>202</v>
      </c>
      <c r="B24" s="209" t="s">
        <v>247</v>
      </c>
      <c r="C24" s="210" t="s">
        <v>248</v>
      </c>
      <c r="D24" s="218"/>
      <c r="E24" s="211"/>
    </row>
    <row r="25" spans="1:5">
      <c r="A25" s="212"/>
      <c r="B25" s="213"/>
      <c r="C25" s="213"/>
      <c r="D25" s="213"/>
      <c r="E25" s="213"/>
    </row>
    <row r="26" spans="1:5">
      <c r="A26" s="214"/>
      <c r="B26" s="215"/>
      <c r="C26" s="215"/>
      <c r="D26" s="215"/>
      <c r="E26" s="215"/>
    </row>
  </sheetData>
  <mergeCells count="5">
    <mergeCell ref="A2:E2"/>
    <mergeCell ref="A3:E3"/>
    <mergeCell ref="A4:E4"/>
    <mergeCell ref="A8:B8"/>
    <mergeCell ref="A17:B17"/>
  </mergeCells>
  <pageMargins left="0.7" right="0.7" top="0.75" bottom="0.75" header="0.3" footer="0.3"/>
  <pageSetup paperSize="9" orientation="portrait" r:id="rId1"/>
  <headerFooter>
    <oddFooter>&amp;CTabela Nr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85"/>
  <sheetViews>
    <sheetView view="pageLayout" workbookViewId="0">
      <selection activeCell="F38" sqref="F38"/>
    </sheetView>
  </sheetViews>
  <sheetFormatPr defaultRowHeight="12.75"/>
  <cols>
    <col min="1" max="1" width="4.85546875" style="44" customWidth="1"/>
    <col min="2" max="2" width="6.42578125" style="44" customWidth="1"/>
    <col min="3" max="3" width="7.28515625" style="44" customWidth="1"/>
    <col min="4" max="4" width="6.28515625" style="44" customWidth="1"/>
    <col min="5" max="5" width="29.5703125" style="44" customWidth="1"/>
    <col min="6" max="6" width="11.85546875" style="44" customWidth="1"/>
    <col min="7" max="7" width="12.140625" style="44" customWidth="1"/>
    <col min="8" max="16384" width="9.140625" style="44"/>
  </cols>
  <sheetData>
    <row r="1" spans="1:9">
      <c r="G1" s="557" t="s">
        <v>377</v>
      </c>
      <c r="H1" s="557"/>
    </row>
    <row r="4" spans="1:9" ht="15.75" customHeight="1">
      <c r="A4" s="556" t="s">
        <v>173</v>
      </c>
      <c r="B4" s="556"/>
      <c r="C4" s="556"/>
      <c r="D4" s="556"/>
      <c r="E4" s="556"/>
      <c r="F4" s="556"/>
      <c r="G4" s="556"/>
      <c r="H4" s="556"/>
    </row>
    <row r="5" spans="1:9" ht="15.75" customHeight="1">
      <c r="A5" s="556" t="s">
        <v>174</v>
      </c>
      <c r="B5" s="556"/>
      <c r="C5" s="556"/>
      <c r="D5" s="556"/>
      <c r="E5" s="556"/>
      <c r="F5" s="556"/>
      <c r="G5" s="556"/>
      <c r="H5" s="556"/>
    </row>
    <row r="6" spans="1:9" ht="15.75" customHeight="1">
      <c r="A6" s="556" t="s">
        <v>353</v>
      </c>
      <c r="B6" s="556"/>
      <c r="C6" s="556"/>
      <c r="D6" s="556"/>
      <c r="E6" s="556"/>
      <c r="F6" s="556"/>
      <c r="G6" s="556"/>
      <c r="H6" s="556"/>
    </row>
    <row r="7" spans="1:9" ht="15.75">
      <c r="A7" s="95"/>
      <c r="B7" s="95"/>
      <c r="C7" s="95"/>
      <c r="D7" s="95"/>
      <c r="E7" s="96"/>
      <c r="F7" s="82"/>
    </row>
    <row r="8" spans="1:9" ht="15.75" customHeight="1">
      <c r="A8" s="225"/>
      <c r="B8" s="225"/>
      <c r="C8" s="225"/>
      <c r="D8" s="225"/>
      <c r="E8" s="225"/>
      <c r="G8" s="226" t="s">
        <v>161</v>
      </c>
    </row>
    <row r="9" spans="1:9" ht="25.5">
      <c r="A9" s="230" t="s">
        <v>171</v>
      </c>
      <c r="B9" s="230" t="s">
        <v>0</v>
      </c>
      <c r="C9" s="230" t="s">
        <v>7</v>
      </c>
      <c r="D9" s="230" t="s">
        <v>61</v>
      </c>
      <c r="E9" s="230" t="s">
        <v>255</v>
      </c>
      <c r="F9" s="231" t="s">
        <v>271</v>
      </c>
      <c r="G9" s="232" t="s">
        <v>270</v>
      </c>
      <c r="H9" s="232" t="s">
        <v>135</v>
      </c>
    </row>
    <row r="10" spans="1:9">
      <c r="A10" s="227">
        <v>1</v>
      </c>
      <c r="B10" s="227">
        <v>2</v>
      </c>
      <c r="C10" s="227">
        <v>3</v>
      </c>
      <c r="D10" s="227">
        <v>4</v>
      </c>
      <c r="E10" s="227">
        <v>5</v>
      </c>
      <c r="F10" s="227">
        <v>6</v>
      </c>
      <c r="G10" s="227">
        <v>7</v>
      </c>
      <c r="H10" s="227">
        <v>8</v>
      </c>
    </row>
    <row r="11" spans="1:9" ht="27" customHeight="1">
      <c r="A11" s="228">
        <v>1</v>
      </c>
      <c r="B11" s="228">
        <v>801</v>
      </c>
      <c r="C11" s="228">
        <v>80120</v>
      </c>
      <c r="D11" s="228">
        <v>2540</v>
      </c>
      <c r="E11" s="229" t="s">
        <v>256</v>
      </c>
      <c r="F11" s="234">
        <v>52584</v>
      </c>
      <c r="G11" s="233">
        <v>46481.4</v>
      </c>
      <c r="H11" s="46">
        <f>G11/F11*100</f>
        <v>88.394568690095852</v>
      </c>
      <c r="I11" s="136"/>
    </row>
    <row r="12" spans="1:9" ht="27" customHeight="1">
      <c r="A12" s="228">
        <v>2</v>
      </c>
      <c r="B12" s="228">
        <v>801</v>
      </c>
      <c r="C12" s="228">
        <v>80120</v>
      </c>
      <c r="D12" s="228">
        <v>2540</v>
      </c>
      <c r="E12" s="229" t="s">
        <v>257</v>
      </c>
      <c r="F12" s="234">
        <v>314924.40000000002</v>
      </c>
      <c r="G12" s="233">
        <v>309501.53999999998</v>
      </c>
      <c r="H12" s="46">
        <f t="shared" ref="H12:H22" si="0">G12/F12*100</f>
        <v>98.27804387338675</v>
      </c>
    </row>
    <row r="13" spans="1:9" s="182" customFormat="1">
      <c r="A13" s="228">
        <v>3</v>
      </c>
      <c r="B13" s="228">
        <v>801</v>
      </c>
      <c r="C13" s="228">
        <v>80120</v>
      </c>
      <c r="D13" s="228">
        <v>2540</v>
      </c>
      <c r="E13" s="229" t="s">
        <v>368</v>
      </c>
      <c r="F13" s="234">
        <v>234500</v>
      </c>
      <c r="G13" s="233">
        <v>234360.09</v>
      </c>
      <c r="H13" s="46">
        <f t="shared" si="0"/>
        <v>99.940336886993592</v>
      </c>
    </row>
    <row r="14" spans="1:9" s="136" customFormat="1" ht="24.75" customHeight="1">
      <c r="A14" s="228">
        <v>4</v>
      </c>
      <c r="B14" s="228">
        <v>801</v>
      </c>
      <c r="C14" s="228">
        <v>80120</v>
      </c>
      <c r="D14" s="228">
        <v>2540</v>
      </c>
      <c r="E14" s="229" t="s">
        <v>258</v>
      </c>
      <c r="F14" s="234">
        <v>217500</v>
      </c>
      <c r="G14" s="233">
        <v>216738.27</v>
      </c>
      <c r="H14" s="46">
        <f t="shared" si="0"/>
        <v>99.649779310344826</v>
      </c>
      <c r="I14" s="44"/>
    </row>
    <row r="15" spans="1:9" ht="25.5" customHeight="1">
      <c r="A15" s="228">
        <v>5</v>
      </c>
      <c r="B15" s="228">
        <v>801</v>
      </c>
      <c r="C15" s="228">
        <v>80120</v>
      </c>
      <c r="D15" s="228">
        <v>2540</v>
      </c>
      <c r="E15" s="229" t="s">
        <v>259</v>
      </c>
      <c r="F15" s="234">
        <v>115000</v>
      </c>
      <c r="G15" s="233">
        <v>114029.37</v>
      </c>
      <c r="H15" s="46">
        <f t="shared" si="0"/>
        <v>99.155973913043468</v>
      </c>
    </row>
    <row r="16" spans="1:9" ht="25.5">
      <c r="A16" s="228">
        <v>6</v>
      </c>
      <c r="B16" s="228">
        <v>801</v>
      </c>
      <c r="C16" s="228">
        <v>80123</v>
      </c>
      <c r="D16" s="228">
        <v>2540</v>
      </c>
      <c r="E16" s="229" t="s">
        <v>260</v>
      </c>
      <c r="F16" s="234">
        <v>185771.2</v>
      </c>
      <c r="G16" s="233">
        <v>172374.9</v>
      </c>
      <c r="H16" s="46">
        <f t="shared" si="0"/>
        <v>92.788817642347126</v>
      </c>
      <c r="I16" s="136"/>
    </row>
    <row r="17" spans="1:9" ht="25.5">
      <c r="A17" s="228">
        <v>7</v>
      </c>
      <c r="B17" s="228">
        <v>801</v>
      </c>
      <c r="C17" s="228">
        <v>80123</v>
      </c>
      <c r="D17" s="228">
        <v>2540</v>
      </c>
      <c r="E17" s="229" t="s">
        <v>159</v>
      </c>
      <c r="F17" s="234">
        <v>31772</v>
      </c>
      <c r="G17" s="233">
        <v>30559.360000000001</v>
      </c>
      <c r="H17" s="46">
        <f t="shared" si="0"/>
        <v>96.183306055646483</v>
      </c>
      <c r="I17" s="138"/>
    </row>
    <row r="18" spans="1:9">
      <c r="A18" s="228">
        <v>8</v>
      </c>
      <c r="B18" s="228">
        <v>801</v>
      </c>
      <c r="C18" s="228">
        <v>80130</v>
      </c>
      <c r="D18" s="228">
        <v>2540</v>
      </c>
      <c r="E18" s="229" t="s">
        <v>158</v>
      </c>
      <c r="F18" s="234">
        <v>182500</v>
      </c>
      <c r="G18" s="233">
        <v>182449.78</v>
      </c>
      <c r="H18" s="46">
        <f t="shared" si="0"/>
        <v>99.972482191780827</v>
      </c>
    </row>
    <row r="19" spans="1:9" s="136" customFormat="1" ht="25.5">
      <c r="A19" s="228">
        <v>9</v>
      </c>
      <c r="B19" s="228">
        <v>801</v>
      </c>
      <c r="C19" s="228">
        <v>80130</v>
      </c>
      <c r="D19" s="228">
        <v>2540</v>
      </c>
      <c r="E19" s="229" t="s">
        <v>160</v>
      </c>
      <c r="F19" s="234">
        <v>202550</v>
      </c>
      <c r="G19" s="233">
        <v>202127.28</v>
      </c>
      <c r="H19" s="46">
        <f t="shared" si="0"/>
        <v>99.791300913354732</v>
      </c>
      <c r="I19" s="44"/>
    </row>
    <row r="20" spans="1:9" s="138" customFormat="1" ht="38.25">
      <c r="A20" s="228">
        <v>10</v>
      </c>
      <c r="B20" s="228">
        <v>801</v>
      </c>
      <c r="C20" s="228">
        <v>80144</v>
      </c>
      <c r="D20" s="228">
        <v>2540</v>
      </c>
      <c r="E20" s="229" t="s">
        <v>198</v>
      </c>
      <c r="F20" s="234">
        <v>251365.03</v>
      </c>
      <c r="G20" s="233">
        <v>152728.5</v>
      </c>
      <c r="H20" s="46">
        <f t="shared" si="0"/>
        <v>60.75964504688659</v>
      </c>
      <c r="I20" s="82"/>
    </row>
    <row r="21" spans="1:9" ht="27.75" customHeight="1">
      <c r="A21" s="228">
        <v>13</v>
      </c>
      <c r="B21" s="228">
        <v>854</v>
      </c>
      <c r="C21" s="228">
        <v>85419</v>
      </c>
      <c r="D21" s="228">
        <v>2540</v>
      </c>
      <c r="E21" s="229" t="s">
        <v>172</v>
      </c>
      <c r="F21" s="234">
        <v>1264100</v>
      </c>
      <c r="G21" s="233">
        <v>1251883.8400000001</v>
      </c>
      <c r="H21" s="46">
        <f t="shared" si="0"/>
        <v>99.03360810062496</v>
      </c>
      <c r="I21" s="82"/>
    </row>
    <row r="22" spans="1:9">
      <c r="A22" s="558" t="s">
        <v>156</v>
      </c>
      <c r="B22" s="558"/>
      <c r="C22" s="558"/>
      <c r="D22" s="558"/>
      <c r="E22" s="558"/>
      <c r="F22" s="235">
        <f>SUM(F11:F21)</f>
        <v>3052566.63</v>
      </c>
      <c r="G22" s="236">
        <f>SUM(G11:G21)</f>
        <v>2913234.33</v>
      </c>
      <c r="H22" s="101">
        <f t="shared" si="0"/>
        <v>95.435568919915767</v>
      </c>
    </row>
    <row r="23" spans="1:9" ht="15">
      <c r="A23" s="223"/>
      <c r="B23"/>
      <c r="C23"/>
      <c r="D23"/>
      <c r="E23"/>
      <c r="F23"/>
    </row>
    <row r="24" spans="1:9" ht="15">
      <c r="A24" s="223"/>
      <c r="B24"/>
      <c r="C24"/>
      <c r="D24"/>
      <c r="E24"/>
      <c r="F24"/>
    </row>
    <row r="25" spans="1:9" ht="15">
      <c r="A25" s="223"/>
      <c r="B25"/>
      <c r="C25"/>
      <c r="D25"/>
      <c r="E25"/>
      <c r="F25"/>
    </row>
    <row r="26" spans="1:9" ht="15">
      <c r="A26" s="223"/>
      <c r="B26"/>
      <c r="C26"/>
      <c r="D26"/>
      <c r="E26"/>
      <c r="F26"/>
    </row>
    <row r="27" spans="1:9" ht="15">
      <c r="A27" s="223"/>
      <c r="B27"/>
      <c r="C27"/>
      <c r="D27"/>
      <c r="E27"/>
      <c r="F27"/>
    </row>
    <row r="28" spans="1:9" ht="15">
      <c r="A28" s="223"/>
      <c r="B28"/>
      <c r="C28"/>
      <c r="D28"/>
      <c r="E28"/>
      <c r="F28"/>
    </row>
    <row r="29" spans="1:9" ht="15">
      <c r="A29" s="223"/>
      <c r="B29"/>
      <c r="C29"/>
      <c r="D29"/>
      <c r="E29"/>
      <c r="F29"/>
    </row>
    <row r="30" spans="1:9" ht="15">
      <c r="A30" s="223"/>
      <c r="B30"/>
      <c r="C30"/>
      <c r="D30"/>
      <c r="E30"/>
      <c r="F30"/>
    </row>
    <row r="31" spans="1:9" ht="15">
      <c r="A31" s="223"/>
      <c r="B31"/>
      <c r="C31"/>
      <c r="D31"/>
      <c r="E31"/>
      <c r="F31"/>
    </row>
    <row r="32" spans="1:9" ht="15">
      <c r="A32" s="223"/>
      <c r="B32"/>
      <c r="C32"/>
      <c r="D32"/>
      <c r="E32"/>
      <c r="F32"/>
    </row>
    <row r="33" spans="1:6" ht="15">
      <c r="A33" s="223"/>
      <c r="B33"/>
      <c r="C33"/>
      <c r="D33"/>
      <c r="E33"/>
      <c r="F33"/>
    </row>
    <row r="34" spans="1:6" ht="15">
      <c r="A34" s="223"/>
      <c r="B34"/>
      <c r="C34"/>
      <c r="D34"/>
      <c r="E34"/>
      <c r="F34"/>
    </row>
    <row r="35" spans="1:6" ht="15">
      <c r="A35" s="223"/>
      <c r="B35"/>
      <c r="C35"/>
      <c r="D35"/>
      <c r="E35"/>
      <c r="F35"/>
    </row>
    <row r="36" spans="1:6">
      <c r="F36"/>
    </row>
    <row r="37" spans="1:6">
      <c r="F37"/>
    </row>
    <row r="38" spans="1:6">
      <c r="F38"/>
    </row>
    <row r="39" spans="1:6">
      <c r="F39"/>
    </row>
    <row r="40" spans="1:6">
      <c r="F40"/>
    </row>
    <row r="41" spans="1:6">
      <c r="F41"/>
    </row>
    <row r="42" spans="1:6">
      <c r="F42"/>
    </row>
    <row r="43" spans="1:6">
      <c r="F43"/>
    </row>
    <row r="44" spans="1:6">
      <c r="F44"/>
    </row>
    <row r="45" spans="1:6">
      <c r="F45"/>
    </row>
    <row r="46" spans="1:6">
      <c r="F46"/>
    </row>
    <row r="47" spans="1:6">
      <c r="F47"/>
    </row>
    <row r="48" spans="1:6" ht="15.75" customHeight="1">
      <c r="F48"/>
    </row>
    <row r="49" spans="1:6" ht="15.75" customHeight="1">
      <c r="F49"/>
    </row>
    <row r="50" spans="1:6">
      <c r="F50"/>
    </row>
    <row r="51" spans="1:6">
      <c r="F51"/>
    </row>
    <row r="52" spans="1:6">
      <c r="F52"/>
    </row>
    <row r="53" spans="1:6" ht="15">
      <c r="A53" s="223"/>
      <c r="B53"/>
      <c r="C53"/>
      <c r="D53"/>
      <c r="E53"/>
      <c r="F53"/>
    </row>
    <row r="54" spans="1:6" ht="15">
      <c r="A54" s="223"/>
      <c r="B54"/>
      <c r="C54"/>
      <c r="D54"/>
      <c r="E54"/>
      <c r="F54"/>
    </row>
    <row r="55" spans="1:6" ht="15">
      <c r="A55" s="223"/>
      <c r="B55"/>
      <c r="C55"/>
      <c r="D55"/>
      <c r="E55"/>
      <c r="F55"/>
    </row>
    <row r="56" spans="1:6" ht="15">
      <c r="A56" s="223"/>
      <c r="B56"/>
      <c r="C56"/>
      <c r="D56"/>
      <c r="E56"/>
      <c r="F56"/>
    </row>
    <row r="57" spans="1:6" ht="15">
      <c r="A57" s="223"/>
      <c r="B57"/>
      <c r="C57"/>
      <c r="D57"/>
      <c r="E57"/>
      <c r="F57"/>
    </row>
    <row r="58" spans="1:6" ht="15">
      <c r="A58" s="223"/>
      <c r="B58"/>
      <c r="C58"/>
      <c r="D58"/>
      <c r="E58"/>
      <c r="F58"/>
    </row>
    <row r="59" spans="1:6" ht="15">
      <c r="A59" s="223"/>
      <c r="B59"/>
      <c r="C59"/>
      <c r="D59"/>
      <c r="E59"/>
      <c r="F59"/>
    </row>
    <row r="60" spans="1:6" ht="15">
      <c r="A60" s="223"/>
      <c r="B60"/>
      <c r="C60"/>
      <c r="D60"/>
      <c r="E60"/>
      <c r="F60"/>
    </row>
    <row r="61" spans="1:6" ht="15">
      <c r="A61" s="223"/>
      <c r="B61"/>
      <c r="C61"/>
      <c r="D61"/>
      <c r="E61"/>
      <c r="F61"/>
    </row>
    <row r="62" spans="1:6" ht="15">
      <c r="A62" s="223"/>
      <c r="B62"/>
      <c r="C62"/>
      <c r="D62"/>
      <c r="E62"/>
      <c r="F62"/>
    </row>
    <row r="63" spans="1:6" ht="15">
      <c r="A63" s="223"/>
      <c r="B63"/>
      <c r="C63"/>
      <c r="D63"/>
      <c r="E63"/>
      <c r="F63"/>
    </row>
    <row r="64" spans="1:6" ht="15">
      <c r="A64" s="223"/>
      <c r="B64"/>
      <c r="C64"/>
      <c r="D64"/>
      <c r="E64"/>
      <c r="F64"/>
    </row>
    <row r="65" spans="1:6" ht="15">
      <c r="A65" s="223"/>
      <c r="B65"/>
      <c r="C65"/>
      <c r="D65"/>
      <c r="E65"/>
      <c r="F65"/>
    </row>
    <row r="66" spans="1:6" ht="15">
      <c r="A66" s="223"/>
      <c r="B66"/>
      <c r="C66"/>
      <c r="D66"/>
      <c r="E66"/>
      <c r="F66"/>
    </row>
    <row r="67" spans="1:6" ht="15">
      <c r="A67" s="223"/>
      <c r="B67"/>
      <c r="C67"/>
      <c r="D67"/>
      <c r="E67"/>
      <c r="F67"/>
    </row>
    <row r="68" spans="1:6" ht="15">
      <c r="A68" s="223"/>
      <c r="B68"/>
      <c r="C68"/>
      <c r="D68"/>
      <c r="E68"/>
      <c r="F68"/>
    </row>
    <row r="69" spans="1:6" ht="15">
      <c r="A69" s="223"/>
      <c r="B69"/>
      <c r="C69"/>
      <c r="D69"/>
      <c r="E69"/>
      <c r="F69"/>
    </row>
    <row r="83" ht="15.75" customHeight="1"/>
    <row r="84" ht="15.75" customHeight="1"/>
    <row r="85" ht="15.75" customHeight="1"/>
  </sheetData>
  <mergeCells count="5">
    <mergeCell ref="A4:H4"/>
    <mergeCell ref="A5:H5"/>
    <mergeCell ref="A6:H6"/>
    <mergeCell ref="G1:H1"/>
    <mergeCell ref="A22:E22"/>
  </mergeCells>
  <pageMargins left="0.7" right="0.32" top="0.75" bottom="0.75" header="0.3" footer="0.3"/>
  <pageSetup paperSize="9" orientation="portrait" r:id="rId1"/>
  <headerFooter>
    <oddFooter>&amp;C&amp;"Times New (W1),Normalny"Tabela Nr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85"/>
  <sheetViews>
    <sheetView view="pageLayout" workbookViewId="0">
      <selection activeCell="G27" sqref="G27"/>
    </sheetView>
  </sheetViews>
  <sheetFormatPr defaultRowHeight="12.75"/>
  <cols>
    <col min="1" max="1" width="3.85546875" style="44" customWidth="1"/>
    <col min="2" max="2" width="5.28515625" style="44" customWidth="1"/>
    <col min="3" max="3" width="6.28515625" style="44" customWidth="1"/>
    <col min="4" max="4" width="5.28515625" style="44" customWidth="1"/>
    <col min="5" max="5" width="35.5703125" style="44" customWidth="1"/>
    <col min="6" max="6" width="12" style="44" customWidth="1"/>
    <col min="7" max="7" width="12.28515625" style="44" customWidth="1"/>
    <col min="8" max="8" width="6.85546875" style="44" customWidth="1"/>
    <col min="9" max="16384" width="9.140625" style="44"/>
  </cols>
  <sheetData>
    <row r="1" spans="1:8" ht="15.75" customHeight="1">
      <c r="G1" s="495" t="s">
        <v>272</v>
      </c>
      <c r="H1" s="495"/>
    </row>
    <row r="2" spans="1:8" ht="15.75" customHeight="1">
      <c r="A2" s="563" t="s">
        <v>262</v>
      </c>
      <c r="B2" s="563"/>
      <c r="C2" s="563"/>
      <c r="D2" s="563"/>
      <c r="E2" s="563"/>
      <c r="F2" s="563"/>
      <c r="G2" s="563"/>
      <c r="H2" s="563"/>
    </row>
    <row r="3" spans="1:8" ht="15.75" customHeight="1">
      <c r="A3" s="563" t="s">
        <v>175</v>
      </c>
      <c r="B3" s="563"/>
      <c r="C3" s="563"/>
      <c r="D3" s="563"/>
      <c r="E3" s="563"/>
      <c r="F3" s="563"/>
      <c r="G3" s="563"/>
      <c r="H3" s="563"/>
    </row>
    <row r="4" spans="1:8" ht="15.75" customHeight="1">
      <c r="A4" s="563" t="s">
        <v>177</v>
      </c>
      <c r="B4" s="563"/>
      <c r="C4" s="563"/>
      <c r="D4" s="563"/>
      <c r="E4" s="563"/>
      <c r="F4" s="563"/>
      <c r="G4" s="563"/>
      <c r="H4" s="563"/>
    </row>
    <row r="5" spans="1:8" s="82" customFormat="1" ht="15.75" customHeight="1">
      <c r="A5" s="563" t="s">
        <v>367</v>
      </c>
      <c r="B5" s="563"/>
      <c r="C5" s="563"/>
      <c r="D5" s="563"/>
      <c r="E5" s="563"/>
      <c r="F5" s="563"/>
      <c r="G5" s="563"/>
      <c r="H5" s="563"/>
    </row>
    <row r="6" spans="1:8" ht="15">
      <c r="A6" s="225"/>
      <c r="B6" s="225"/>
      <c r="C6" s="225"/>
      <c r="D6" s="225"/>
      <c r="E6" s="225"/>
      <c r="G6" s="226" t="s">
        <v>161</v>
      </c>
    </row>
    <row r="7" spans="1:8" ht="25.5">
      <c r="A7" s="230" t="s">
        <v>171</v>
      </c>
      <c r="B7" s="230" t="s">
        <v>0</v>
      </c>
      <c r="C7" s="230" t="s">
        <v>7</v>
      </c>
      <c r="D7" s="230" t="s">
        <v>61</v>
      </c>
      <c r="E7" s="230" t="s">
        <v>176</v>
      </c>
      <c r="F7" s="231" t="s">
        <v>271</v>
      </c>
      <c r="G7" s="232" t="s">
        <v>270</v>
      </c>
      <c r="H7" s="237" t="s">
        <v>135</v>
      </c>
    </row>
    <row r="8" spans="1:8">
      <c r="A8" s="238">
        <v>1</v>
      </c>
      <c r="B8" s="238">
        <v>2</v>
      </c>
      <c r="C8" s="238">
        <v>3</v>
      </c>
      <c r="D8" s="238">
        <v>4</v>
      </c>
      <c r="E8" s="238">
        <v>5</v>
      </c>
      <c r="F8" s="238">
        <v>6</v>
      </c>
      <c r="G8" s="238">
        <v>7</v>
      </c>
      <c r="H8" s="100">
        <v>8</v>
      </c>
    </row>
    <row r="9" spans="1:8" s="182" customFormat="1" ht="25.5">
      <c r="A9" s="375">
        <v>1</v>
      </c>
      <c r="B9" s="357">
        <v>600</v>
      </c>
      <c r="C9" s="357">
        <v>60014</v>
      </c>
      <c r="D9" s="358">
        <v>2310</v>
      </c>
      <c r="E9" s="265" t="s">
        <v>369</v>
      </c>
      <c r="F9" s="382">
        <v>80000</v>
      </c>
      <c r="G9" s="376">
        <v>80000</v>
      </c>
      <c r="H9" s="426">
        <f>G9/F9*100</f>
        <v>100</v>
      </c>
    </row>
    <row r="10" spans="1:8" s="182" customFormat="1" ht="38.25">
      <c r="A10" s="375">
        <v>2</v>
      </c>
      <c r="B10" s="357">
        <v>600</v>
      </c>
      <c r="C10" s="357">
        <v>60014</v>
      </c>
      <c r="D10" s="358">
        <v>6610</v>
      </c>
      <c r="E10" s="265" t="s">
        <v>370</v>
      </c>
      <c r="F10" s="382">
        <v>32300</v>
      </c>
      <c r="G10" s="376">
        <v>32245.279999999999</v>
      </c>
      <c r="H10" s="426">
        <f t="shared" ref="H10:H22" si="0">G10/F10*100</f>
        <v>99.830588235294115</v>
      </c>
    </row>
    <row r="11" spans="1:8" s="182" customFormat="1" ht="51">
      <c r="A11" s="375">
        <v>3</v>
      </c>
      <c r="B11" s="357">
        <v>600</v>
      </c>
      <c r="C11" s="357">
        <v>60016</v>
      </c>
      <c r="D11" s="358">
        <v>6617</v>
      </c>
      <c r="E11" s="265" t="s">
        <v>371</v>
      </c>
      <c r="F11" s="382">
        <v>179258.65</v>
      </c>
      <c r="G11" s="376">
        <v>89981.17</v>
      </c>
      <c r="H11" s="426">
        <f t="shared" si="0"/>
        <v>50.196277836522817</v>
      </c>
    </row>
    <row r="12" spans="1:8" s="182" customFormat="1">
      <c r="A12" s="375">
        <v>4</v>
      </c>
      <c r="B12" s="200">
        <v>851</v>
      </c>
      <c r="C12" s="200">
        <v>85111</v>
      </c>
      <c r="D12" s="200">
        <v>6220</v>
      </c>
      <c r="E12" s="371" t="s">
        <v>372</v>
      </c>
      <c r="F12" s="383">
        <v>170000</v>
      </c>
      <c r="G12" s="376">
        <v>170000</v>
      </c>
      <c r="H12" s="426">
        <f t="shared" si="0"/>
        <v>100</v>
      </c>
    </row>
    <row r="13" spans="1:8" s="182" customFormat="1" ht="51">
      <c r="A13" s="375">
        <v>5</v>
      </c>
      <c r="B13" s="200">
        <v>852</v>
      </c>
      <c r="C13" s="200">
        <v>85201</v>
      </c>
      <c r="D13" s="200">
        <v>2320</v>
      </c>
      <c r="E13" s="372" t="s">
        <v>373</v>
      </c>
      <c r="F13" s="384">
        <v>216823.21</v>
      </c>
      <c r="G13" s="376">
        <v>216823.21</v>
      </c>
      <c r="H13" s="426">
        <f t="shared" si="0"/>
        <v>100</v>
      </c>
    </row>
    <row r="14" spans="1:8" s="182" customFormat="1" ht="38.25">
      <c r="A14" s="375">
        <v>6</v>
      </c>
      <c r="B14" s="200">
        <v>852</v>
      </c>
      <c r="C14" s="200">
        <v>85204</v>
      </c>
      <c r="D14" s="200">
        <v>2320</v>
      </c>
      <c r="E14" s="372" t="s">
        <v>374</v>
      </c>
      <c r="F14" s="384">
        <v>170608.44</v>
      </c>
      <c r="G14" s="376">
        <v>170489.63</v>
      </c>
      <c r="H14" s="426">
        <f t="shared" si="0"/>
        <v>99.930361006759099</v>
      </c>
    </row>
    <row r="15" spans="1:8" s="182" customFormat="1" ht="25.5">
      <c r="A15" s="375">
        <v>7</v>
      </c>
      <c r="B15" s="200">
        <v>853</v>
      </c>
      <c r="C15" s="200">
        <v>85311</v>
      </c>
      <c r="D15" s="200">
        <v>2310</v>
      </c>
      <c r="E15" s="373" t="s">
        <v>263</v>
      </c>
      <c r="F15" s="384">
        <v>44520</v>
      </c>
      <c r="G15" s="376">
        <v>44520</v>
      </c>
      <c r="H15" s="426">
        <f t="shared" si="0"/>
        <v>100</v>
      </c>
    </row>
    <row r="16" spans="1:8" s="182" customFormat="1">
      <c r="A16" s="375">
        <v>8</v>
      </c>
      <c r="B16" s="200">
        <v>853</v>
      </c>
      <c r="C16" s="200">
        <v>85311</v>
      </c>
      <c r="D16" s="200">
        <v>2310</v>
      </c>
      <c r="E16" s="373" t="s">
        <v>375</v>
      </c>
      <c r="F16" s="384">
        <v>44520</v>
      </c>
      <c r="G16" s="376">
        <v>44520</v>
      </c>
      <c r="H16" s="426">
        <f t="shared" si="0"/>
        <v>100</v>
      </c>
    </row>
    <row r="17" spans="1:8" s="182" customFormat="1">
      <c r="A17" s="561">
        <v>9</v>
      </c>
      <c r="B17" s="559">
        <v>853</v>
      </c>
      <c r="C17" s="559">
        <v>85395</v>
      </c>
      <c r="D17" s="560" t="s">
        <v>265</v>
      </c>
      <c r="E17" s="229" t="s">
        <v>266</v>
      </c>
      <c r="F17" s="382">
        <v>276179.40000000002</v>
      </c>
      <c r="G17" s="376">
        <f>276179.4-4645.85</f>
        <v>271533.55000000005</v>
      </c>
      <c r="H17" s="426">
        <f t="shared" si="0"/>
        <v>98.317814435109938</v>
      </c>
    </row>
    <row r="18" spans="1:8" s="182" customFormat="1">
      <c r="A18" s="561"/>
      <c r="B18" s="559"/>
      <c r="C18" s="559"/>
      <c r="D18" s="560"/>
      <c r="E18" s="229" t="s">
        <v>267</v>
      </c>
      <c r="F18" s="382">
        <v>177592.5</v>
      </c>
      <c r="G18" s="376">
        <f>F18-284.8</f>
        <v>177307.7</v>
      </c>
      <c r="H18" s="426">
        <f t="shared" si="0"/>
        <v>99.839632867378981</v>
      </c>
    </row>
    <row r="19" spans="1:8" s="182" customFormat="1">
      <c r="A19" s="561"/>
      <c r="B19" s="559"/>
      <c r="C19" s="559"/>
      <c r="D19" s="560"/>
      <c r="E19" s="229" t="s">
        <v>268</v>
      </c>
      <c r="F19" s="382">
        <v>171890.1</v>
      </c>
      <c r="G19" s="376">
        <f>F19-720.9</f>
        <v>171169.2</v>
      </c>
      <c r="H19" s="426">
        <f t="shared" si="0"/>
        <v>99.580604118561808</v>
      </c>
    </row>
    <row r="20" spans="1:8" s="182" customFormat="1">
      <c r="A20" s="561"/>
      <c r="B20" s="559"/>
      <c r="C20" s="559"/>
      <c r="D20" s="560"/>
      <c r="E20" s="229" t="s">
        <v>269</v>
      </c>
      <c r="F20" s="382">
        <v>207491.4</v>
      </c>
      <c r="G20" s="376">
        <f>F20-0.23</f>
        <v>207491.16999999998</v>
      </c>
      <c r="H20" s="426">
        <f t="shared" si="0"/>
        <v>99.999889152032324</v>
      </c>
    </row>
    <row r="21" spans="1:8" s="182" customFormat="1">
      <c r="A21" s="375">
        <v>10</v>
      </c>
      <c r="B21" s="200">
        <v>921</v>
      </c>
      <c r="C21" s="200">
        <v>92116</v>
      </c>
      <c r="D21" s="200">
        <v>2310</v>
      </c>
      <c r="E21" s="374" t="s">
        <v>264</v>
      </c>
      <c r="F21" s="384">
        <v>57800</v>
      </c>
      <c r="G21" s="376">
        <v>57800</v>
      </c>
      <c r="H21" s="426">
        <f t="shared" si="0"/>
        <v>100</v>
      </c>
    </row>
    <row r="22" spans="1:8" s="182" customFormat="1">
      <c r="A22" s="562" t="s">
        <v>121</v>
      </c>
      <c r="B22" s="562"/>
      <c r="C22" s="562"/>
      <c r="D22" s="562"/>
      <c r="E22" s="562"/>
      <c r="F22" s="385">
        <f>SUM(F9:F21)</f>
        <v>1828983.7000000002</v>
      </c>
      <c r="G22" s="386">
        <f>SUM(G9:G21)</f>
        <v>1733880.91</v>
      </c>
      <c r="H22" s="427">
        <f t="shared" si="0"/>
        <v>94.800238514974183</v>
      </c>
    </row>
    <row r="23" spans="1:8" s="182" customFormat="1">
      <c r="A23" s="369"/>
      <c r="B23" s="369"/>
      <c r="C23" s="369"/>
      <c r="D23" s="369"/>
      <c r="E23" s="369"/>
      <c r="F23" s="369"/>
      <c r="G23" s="369"/>
      <c r="H23" s="370"/>
    </row>
    <row r="24" spans="1:8" s="182" customFormat="1">
      <c r="A24" s="369"/>
      <c r="B24" s="369"/>
      <c r="C24" s="369"/>
      <c r="D24" s="369"/>
      <c r="E24" s="369"/>
      <c r="F24" s="369"/>
      <c r="G24" s="369"/>
      <c r="H24" s="370"/>
    </row>
    <row r="25" spans="1:8" s="182" customFormat="1">
      <c r="A25" s="369"/>
      <c r="B25" s="369"/>
      <c r="C25" s="369"/>
      <c r="D25" s="369"/>
      <c r="E25" s="369"/>
      <c r="F25" s="369"/>
      <c r="G25" s="369"/>
      <c r="H25" s="370"/>
    </row>
    <row r="26" spans="1:8" s="182" customFormat="1">
      <c r="A26" s="369"/>
      <c r="B26" s="369"/>
      <c r="C26" s="369"/>
      <c r="D26" s="369"/>
      <c r="E26" s="369"/>
      <c r="F26" s="369"/>
      <c r="G26" s="369"/>
      <c r="H26" s="370"/>
    </row>
    <row r="27" spans="1:8" s="182" customFormat="1">
      <c r="A27" s="369"/>
      <c r="B27" s="369"/>
      <c r="C27" s="369"/>
      <c r="D27" s="369"/>
      <c r="E27" s="369"/>
      <c r="F27" s="369"/>
      <c r="G27" s="369"/>
      <c r="H27" s="370"/>
    </row>
    <row r="28" spans="1:8" s="182" customFormat="1">
      <c r="A28" s="369"/>
      <c r="B28" s="369"/>
      <c r="C28" s="369"/>
      <c r="D28" s="369"/>
      <c r="E28" s="369"/>
      <c r="F28" s="369"/>
      <c r="G28" s="369"/>
      <c r="H28" s="370"/>
    </row>
    <row r="29" spans="1:8" s="182" customFormat="1">
      <c r="A29" s="369"/>
      <c r="B29" s="369"/>
      <c r="C29" s="369"/>
      <c r="D29" s="369"/>
      <c r="E29" s="369"/>
      <c r="F29" s="369"/>
      <c r="G29" s="369"/>
      <c r="H29" s="370"/>
    </row>
    <row r="30" spans="1:8" s="182" customFormat="1">
      <c r="A30" s="369"/>
      <c r="B30" s="369"/>
      <c r="C30" s="369"/>
      <c r="D30" s="369"/>
      <c r="E30" s="369"/>
      <c r="F30" s="369"/>
      <c r="G30" s="369"/>
      <c r="H30" s="370"/>
    </row>
    <row r="31" spans="1:8" s="182" customFormat="1">
      <c r="A31" s="369"/>
      <c r="B31" s="369"/>
      <c r="C31" s="369"/>
      <c r="D31" s="369"/>
      <c r="E31" s="369"/>
      <c r="F31" s="369"/>
      <c r="G31" s="369"/>
      <c r="H31" s="370"/>
    </row>
    <row r="32" spans="1:8" s="182" customFormat="1">
      <c r="A32" s="369"/>
      <c r="B32" s="369"/>
      <c r="C32" s="369"/>
      <c r="D32" s="369"/>
      <c r="E32" s="369"/>
      <c r="F32" s="369"/>
      <c r="G32" s="369"/>
      <c r="H32" s="370"/>
    </row>
    <row r="33" spans="1:8" s="182" customFormat="1">
      <c r="A33" s="369"/>
      <c r="B33" s="369"/>
      <c r="C33" s="369"/>
      <c r="D33" s="369"/>
      <c r="E33" s="369"/>
      <c r="F33" s="369"/>
      <c r="G33" s="369"/>
      <c r="H33" s="370"/>
    </row>
    <row r="34" spans="1:8" s="182" customFormat="1">
      <c r="A34" s="369"/>
      <c r="B34" s="369"/>
      <c r="C34" s="369"/>
      <c r="D34" s="369"/>
      <c r="E34" s="369"/>
      <c r="F34" s="369"/>
      <c r="G34" s="369"/>
      <c r="H34" s="370"/>
    </row>
    <row r="35" spans="1:8" s="182" customFormat="1">
      <c r="A35" s="369"/>
      <c r="B35" s="369"/>
      <c r="C35" s="369"/>
      <c r="D35" s="369"/>
      <c r="E35" s="369"/>
      <c r="F35" s="369"/>
      <c r="G35" s="369"/>
      <c r="H35" s="370"/>
    </row>
    <row r="36" spans="1:8" s="182" customFormat="1">
      <c r="A36" s="369"/>
      <c r="B36" s="369"/>
      <c r="C36" s="369"/>
      <c r="D36" s="369"/>
      <c r="E36" s="369"/>
      <c r="F36" s="369"/>
      <c r="G36" s="369"/>
      <c r="H36" s="370"/>
    </row>
    <row r="37" spans="1:8" s="182" customFormat="1">
      <c r="A37" s="369"/>
      <c r="B37" s="369"/>
      <c r="C37" s="369"/>
      <c r="D37" s="369"/>
      <c r="E37" s="369"/>
      <c r="F37" s="369"/>
      <c r="G37" s="369"/>
      <c r="H37" s="370"/>
    </row>
    <row r="38" spans="1:8" s="182" customFormat="1">
      <c r="A38" s="369"/>
      <c r="B38" s="369"/>
      <c r="C38" s="369"/>
      <c r="D38" s="369"/>
      <c r="E38" s="369"/>
      <c r="F38" s="369"/>
      <c r="G38" s="369"/>
      <c r="H38" s="370"/>
    </row>
    <row r="39" spans="1:8" s="182" customFormat="1">
      <c r="A39" s="369"/>
      <c r="B39" s="369"/>
      <c r="C39" s="369"/>
      <c r="D39" s="369"/>
      <c r="E39" s="369"/>
      <c r="F39" s="369"/>
      <c r="G39" s="369"/>
      <c r="H39" s="370"/>
    </row>
    <row r="40" spans="1:8" s="182" customFormat="1">
      <c r="A40" s="369"/>
      <c r="B40" s="369"/>
      <c r="C40" s="369"/>
      <c r="D40" s="369"/>
      <c r="E40" s="369"/>
      <c r="F40" s="369"/>
      <c r="G40" s="369"/>
      <c r="H40" s="370"/>
    </row>
    <row r="41" spans="1:8" s="182" customFormat="1">
      <c r="A41" s="369"/>
      <c r="B41" s="369"/>
      <c r="C41" s="369"/>
      <c r="D41" s="369"/>
      <c r="E41" s="369"/>
      <c r="F41" s="369"/>
      <c r="G41" s="369"/>
      <c r="H41" s="370"/>
    </row>
    <row r="42" spans="1:8" s="182" customFormat="1">
      <c r="A42" s="369"/>
      <c r="B42" s="369"/>
      <c r="C42" s="369"/>
      <c r="D42" s="369"/>
      <c r="E42" s="369"/>
      <c r="F42" s="369"/>
      <c r="G42" s="369"/>
      <c r="H42" s="370"/>
    </row>
    <row r="43" spans="1:8" s="182" customFormat="1">
      <c r="A43" s="369"/>
      <c r="B43" s="369"/>
      <c r="C43" s="369"/>
      <c r="D43" s="369"/>
      <c r="E43" s="369"/>
      <c r="F43" s="369"/>
      <c r="G43" s="369"/>
      <c r="H43" s="370"/>
    </row>
    <row r="44" spans="1:8" s="182" customFormat="1">
      <c r="A44" s="369"/>
      <c r="B44" s="369"/>
      <c r="C44" s="369"/>
      <c r="D44" s="369"/>
      <c r="E44" s="369"/>
      <c r="F44" s="369"/>
      <c r="G44" s="369"/>
      <c r="H44" s="370"/>
    </row>
    <row r="46" spans="1:8" s="182" customFormat="1"/>
    <row r="47" spans="1:8" ht="15.75" customHeight="1"/>
    <row r="48" spans="1:8" ht="15.75" customHeight="1"/>
    <row r="49" ht="15.75" customHeight="1"/>
    <row r="50" ht="15.75" customHeight="1"/>
    <row r="51" s="182" customFormat="1" ht="15.75" customHeight="1"/>
    <row r="55" s="182" customFormat="1" ht="53.25" customHeight="1"/>
    <row r="57" ht="77.25" customHeight="1"/>
    <row r="58" ht="51" customHeight="1"/>
    <row r="69" spans="1:7" ht="15.75" customHeight="1"/>
    <row r="70" spans="1:7" ht="15.75" customHeight="1"/>
    <row r="71" spans="1:7" ht="15.75" customHeight="1"/>
    <row r="72" spans="1:7" s="182" customFormat="1" ht="15.75" customHeight="1">
      <c r="A72" s="44"/>
      <c r="B72" s="44"/>
      <c r="C72" s="44"/>
      <c r="D72" s="44"/>
      <c r="E72" s="44"/>
      <c r="F72" s="44"/>
      <c r="G72" s="44"/>
    </row>
    <row r="85" spans="1:8" s="182" customFormat="1">
      <c r="A85" s="44"/>
      <c r="B85" s="44"/>
      <c r="C85" s="44"/>
      <c r="D85" s="44"/>
      <c r="E85" s="44"/>
      <c r="F85" s="44"/>
      <c r="G85" s="44"/>
      <c r="H85" s="44"/>
    </row>
  </sheetData>
  <mergeCells count="10">
    <mergeCell ref="G1:H1"/>
    <mergeCell ref="A5:H5"/>
    <mergeCell ref="A2:H2"/>
    <mergeCell ref="A3:H3"/>
    <mergeCell ref="A4:H4"/>
    <mergeCell ref="B17:B20"/>
    <mergeCell ref="C17:C20"/>
    <mergeCell ref="D17:D20"/>
    <mergeCell ref="A17:A20"/>
    <mergeCell ref="A22:E22"/>
  </mergeCells>
  <pageMargins left="0.7" right="0.7" top="0.75" bottom="0.75" header="0.3" footer="0.3"/>
  <pageSetup paperSize="9" orientation="portrait" r:id="rId1"/>
  <headerFooter>
    <oddFooter>&amp;C&amp;"Times New (W1),Normalny"Tabela Nr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</vt:i4>
      </vt:variant>
    </vt:vector>
  </HeadingPairs>
  <TitlesOfParts>
    <vt:vector size="19" baseType="lpstr">
      <vt:lpstr>tab1</vt:lpstr>
      <vt:lpstr>wykres dochodów</vt:lpstr>
      <vt:lpstr>tab2</vt:lpstr>
      <vt:lpstr>tab3</vt:lpstr>
      <vt:lpstr>wykres wydatków</vt:lpstr>
      <vt:lpstr>Arkusz1</vt:lpstr>
      <vt:lpstr>tab 4</vt:lpstr>
      <vt:lpstr>tab5</vt:lpstr>
      <vt:lpstr>tab 6</vt:lpstr>
      <vt:lpstr>tab 7</vt:lpstr>
      <vt:lpstr>tab 8</vt:lpstr>
      <vt:lpstr>tab9</vt:lpstr>
      <vt:lpstr>tab10</vt:lpstr>
      <vt:lpstr>tab11</vt:lpstr>
      <vt:lpstr>tab12</vt:lpstr>
      <vt:lpstr>tab 13</vt:lpstr>
      <vt:lpstr>tab 15</vt:lpstr>
      <vt:lpstr>tabela 16</vt:lpstr>
      <vt:lpstr>'wykres dochodów'!Obszar_wydruku</vt:lpstr>
    </vt:vector>
  </TitlesOfParts>
  <Company>Powiat Białogard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</dc:creator>
  <cp:lastModifiedBy>Starostwo Powiatowe w Białogardzie</cp:lastModifiedBy>
  <cp:lastPrinted>2012-03-15T12:09:31Z</cp:lastPrinted>
  <dcterms:created xsi:type="dcterms:W3CDTF">2003-12-03T07:20:24Z</dcterms:created>
  <dcterms:modified xsi:type="dcterms:W3CDTF">2012-03-29T10:37:46Z</dcterms:modified>
</cp:coreProperties>
</file>