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9600" windowHeight="11145" tabRatio="860" firstSheet="6" activeTab="21"/>
  </bookViews>
  <sheets>
    <sheet name="zał 1" sheetId="33" r:id="rId1"/>
    <sheet name="wykres dochodów" sheetId="27" r:id="rId2"/>
    <sheet name="zał 2" sheetId="9" r:id="rId3"/>
    <sheet name="zał 3" sheetId="8" r:id="rId4"/>
    <sheet name="zał 4" sheetId="7" r:id="rId5"/>
    <sheet name="zał5" sheetId="29" r:id="rId6"/>
    <sheet name="zał6" sheetId="5" r:id="rId7"/>
    <sheet name="wykres wydatków" sheetId="22" r:id="rId8"/>
    <sheet name="zał 7" sheetId="31" r:id="rId9"/>
    <sheet name="zał 8i9" sheetId="30" r:id="rId10"/>
    <sheet name="zał10i11" sheetId="36" r:id="rId11"/>
    <sheet name="zał12i13" sheetId="37" r:id="rId12"/>
    <sheet name="zał14 " sheetId="4" r:id="rId13"/>
    <sheet name="zał15" sheetId="1" r:id="rId14"/>
    <sheet name="zał16" sheetId="6" r:id="rId15"/>
    <sheet name="zał17" sheetId="13" r:id="rId16"/>
    <sheet name="zał 18" sheetId="12" r:id="rId17"/>
    <sheet name="zał 19" sheetId="38" r:id="rId18"/>
    <sheet name="zał 20" sheetId="2" r:id="rId19"/>
    <sheet name="zał 21" sheetId="23" r:id="rId20"/>
    <sheet name="zał 22" sheetId="26" r:id="rId21"/>
    <sheet name="zał23" sheetId="34" r:id="rId22"/>
    <sheet name="Arkusz5" sheetId="39" state="hidden" r:id="rId23"/>
  </sheets>
  <definedNames>
    <definedName name="_xlnm.Print_Area" localSheetId="1">'wykres dochodów'!$A$1:$J$84</definedName>
    <definedName name="_xlnm.Print_Area" localSheetId="2">'zał 2'!$A$1:$H$152</definedName>
  </definedNames>
  <calcPr calcId="124519"/>
</workbook>
</file>

<file path=xl/calcChain.xml><?xml version="1.0" encoding="utf-8"?>
<calcChain xmlns="http://schemas.openxmlformats.org/spreadsheetml/2006/main">
  <c r="E46" i="39"/>
  <c r="E51"/>
  <c r="E50"/>
  <c r="E49"/>
  <c r="E42"/>
  <c r="E41"/>
  <c r="E40"/>
  <c r="E39"/>
  <c r="E38"/>
  <c r="E37"/>
  <c r="E36"/>
  <c r="E35"/>
  <c r="E34"/>
  <c r="E33"/>
  <c r="D26" i="34"/>
  <c r="E46" i="5"/>
  <c r="G46"/>
  <c r="E29" i="39"/>
  <c r="E28"/>
  <c r="E27"/>
  <c r="E26"/>
  <c r="E24"/>
  <c r="E22"/>
  <c r="E21"/>
  <c r="E20"/>
  <c r="E19"/>
  <c r="E18"/>
  <c r="E14"/>
  <c r="E13"/>
  <c r="E12"/>
  <c r="E11"/>
  <c r="E10"/>
  <c r="E9"/>
  <c r="E8"/>
  <c r="E7"/>
  <c r="E6"/>
  <c r="E5"/>
  <c r="E4"/>
  <c r="D27"/>
  <c r="D20"/>
  <c r="C20"/>
  <c r="D19"/>
  <c r="C19"/>
  <c r="D18"/>
  <c r="C18"/>
  <c r="D17"/>
  <c r="C17"/>
  <c r="D16"/>
  <c r="C16"/>
  <c r="D14"/>
  <c r="C14"/>
  <c r="D13"/>
  <c r="C13"/>
  <c r="D12"/>
  <c r="C12"/>
  <c r="D11"/>
  <c r="D29" s="1"/>
  <c r="C11"/>
  <c r="C29" s="1"/>
  <c r="D46"/>
  <c r="C46"/>
  <c r="D40"/>
  <c r="C40"/>
  <c r="D21"/>
  <c r="C21"/>
  <c r="D39"/>
  <c r="C39"/>
  <c r="D38"/>
  <c r="C38"/>
  <c r="D37"/>
  <c r="C37"/>
  <c r="D35"/>
  <c r="D42" s="1"/>
  <c r="C35"/>
  <c r="C42" s="1"/>
  <c r="F45" i="9"/>
  <c r="F46"/>
  <c r="F39"/>
  <c r="H150"/>
  <c r="H149"/>
  <c r="H151"/>
  <c r="G149"/>
  <c r="G150"/>
  <c r="H21"/>
  <c r="H20"/>
  <c r="H19"/>
  <c r="H50"/>
  <c r="H48"/>
  <c r="H47"/>
  <c r="H46"/>
  <c r="H98"/>
  <c r="H97"/>
  <c r="H96"/>
  <c r="H95"/>
  <c r="H93"/>
  <c r="H92"/>
  <c r="H91"/>
  <c r="H89"/>
  <c r="H88"/>
  <c r="H87"/>
  <c r="H86"/>
  <c r="H85"/>
  <c r="H84"/>
  <c r="H83"/>
  <c r="H82"/>
  <c r="H81"/>
  <c r="H143"/>
  <c r="H34"/>
  <c r="G69"/>
  <c r="H69" s="1"/>
  <c r="G31"/>
  <c r="H31" s="1"/>
  <c r="G13"/>
  <c r="G14"/>
  <c r="E46"/>
  <c r="F64"/>
  <c r="F69"/>
  <c r="E69"/>
  <c r="F80"/>
  <c r="F86"/>
  <c r="E86"/>
  <c r="F95"/>
  <c r="F100"/>
  <c r="E100"/>
  <c r="F106"/>
  <c r="F110"/>
  <c r="E110"/>
  <c r="F124"/>
  <c r="E124"/>
  <c r="F140"/>
  <c r="E140"/>
  <c r="F143"/>
  <c r="F150"/>
  <c r="F149" s="1"/>
  <c r="H148"/>
  <c r="H142"/>
  <c r="H72"/>
  <c r="H71"/>
  <c r="F20"/>
  <c r="F19" s="1"/>
  <c r="E20"/>
  <c r="E19" s="1"/>
  <c r="E28" i="29"/>
  <c r="F28"/>
  <c r="G28"/>
  <c r="G27"/>
  <c r="G26"/>
  <c r="G25"/>
  <c r="G24"/>
  <c r="G23"/>
  <c r="G22"/>
  <c r="G21"/>
  <c r="G20"/>
  <c r="G19"/>
  <c r="G18"/>
  <c r="G17"/>
  <c r="F14"/>
  <c r="F15"/>
  <c r="F17"/>
  <c r="F18"/>
  <c r="F20"/>
  <c r="F21"/>
  <c r="F23"/>
  <c r="F24"/>
  <c r="F26"/>
  <c r="F33" i="8"/>
  <c r="F25"/>
  <c r="F23"/>
  <c r="H17" i="33"/>
  <c r="G16"/>
  <c r="H36"/>
  <c r="G33"/>
  <c r="G32" s="1"/>
  <c r="G100"/>
  <c r="G99" s="1"/>
  <c r="G94" s="1"/>
  <c r="H226"/>
  <c r="G225"/>
  <c r="G224" s="1"/>
  <c r="H224" s="1"/>
  <c r="F225"/>
  <c r="H221"/>
  <c r="H217"/>
  <c r="F220"/>
  <c r="F218"/>
  <c r="F215"/>
  <c r="F212"/>
  <c r="F211" s="1"/>
  <c r="H198"/>
  <c r="H197"/>
  <c r="H196"/>
  <c r="F195"/>
  <c r="E195"/>
  <c r="F163"/>
  <c r="F171"/>
  <c r="F167"/>
  <c r="H166"/>
  <c r="H165"/>
  <c r="F151"/>
  <c r="F144"/>
  <c r="H146"/>
  <c r="H145"/>
  <c r="H140"/>
  <c r="H139"/>
  <c r="H138"/>
  <c r="H136"/>
  <c r="H135"/>
  <c r="H134"/>
  <c r="H133"/>
  <c r="H132"/>
  <c r="E141"/>
  <c r="F141"/>
  <c r="F137"/>
  <c r="F131"/>
  <c r="F125"/>
  <c r="F118"/>
  <c r="H116"/>
  <c r="F113"/>
  <c r="F107"/>
  <c r="H112"/>
  <c r="H111"/>
  <c r="H110"/>
  <c r="H109"/>
  <c r="H108"/>
  <c r="H72"/>
  <c r="F55"/>
  <c r="E55"/>
  <c r="F47"/>
  <c r="H23"/>
  <c r="F176"/>
  <c r="F149"/>
  <c r="F160"/>
  <c r="F155"/>
  <c r="F100"/>
  <c r="E100"/>
  <c r="H80"/>
  <c r="H79"/>
  <c r="H76"/>
  <c r="F75"/>
  <c r="E75"/>
  <c r="F78"/>
  <c r="E78"/>
  <c r="F71"/>
  <c r="H71" s="1"/>
  <c r="F64"/>
  <c r="F22"/>
  <c r="F21" s="1"/>
  <c r="G11" i="30"/>
  <c r="D70" i="4"/>
  <c r="E44"/>
  <c r="F44"/>
  <c r="F35" i="1"/>
  <c r="F24"/>
  <c r="K16" i="4"/>
  <c r="J16"/>
  <c r="I16"/>
  <c r="H16"/>
  <c r="G16"/>
  <c r="F16"/>
  <c r="H18"/>
  <c r="G18"/>
  <c r="F18"/>
  <c r="L30"/>
  <c r="L29"/>
  <c r="L28"/>
  <c r="L27"/>
  <c r="K27"/>
  <c r="J27"/>
  <c r="I27"/>
  <c r="F27"/>
  <c r="E27"/>
  <c r="J31"/>
  <c r="L43"/>
  <c r="L42"/>
  <c r="K42"/>
  <c r="E42"/>
  <c r="K33"/>
  <c r="J33"/>
  <c r="I33"/>
  <c r="H33"/>
  <c r="G33"/>
  <c r="E33"/>
  <c r="K54"/>
  <c r="J54"/>
  <c r="I54"/>
  <c r="H54"/>
  <c r="G54"/>
  <c r="F54"/>
  <c r="F33" i="38"/>
  <c r="F30"/>
  <c r="F29"/>
  <c r="F28"/>
  <c r="F27"/>
  <c r="F26"/>
  <c r="E26"/>
  <c r="F25"/>
  <c r="F24"/>
  <c r="F23"/>
  <c r="F22"/>
  <c r="F21"/>
  <c r="E20"/>
  <c r="F20" s="1"/>
  <c r="D20"/>
  <c r="E19"/>
  <c r="F19" s="1"/>
  <c r="D19"/>
  <c r="F17"/>
  <c r="F16"/>
  <c r="F15"/>
  <c r="E13"/>
  <c r="F13" s="1"/>
  <c r="D13"/>
  <c r="F11"/>
  <c r="E14" i="12"/>
  <c r="F24"/>
  <c r="F21"/>
  <c r="F20"/>
  <c r="F19"/>
  <c r="F15"/>
  <c r="F12"/>
  <c r="D18"/>
  <c r="F18" s="1"/>
  <c r="D17"/>
  <c r="F17" s="1"/>
  <c r="D14"/>
  <c r="F14" s="1"/>
  <c r="F68" i="4"/>
  <c r="K67"/>
  <c r="F60"/>
  <c r="I59"/>
  <c r="F58"/>
  <c r="F57"/>
  <c r="F55"/>
  <c r="F53"/>
  <c r="E53"/>
  <c r="D53"/>
  <c r="F52"/>
  <c r="L49"/>
  <c r="F48"/>
  <c r="F47"/>
  <c r="F46"/>
  <c r="I46" s="1"/>
  <c r="F45"/>
  <c r="F41"/>
  <c r="L41"/>
  <c r="F39"/>
  <c r="L39"/>
  <c r="F38"/>
  <c r="F36"/>
  <c r="F35"/>
  <c r="F34"/>
  <c r="F33" s="1"/>
  <c r="J32"/>
  <c r="F32"/>
  <c r="F30"/>
  <c r="F26"/>
  <c r="F25"/>
  <c r="F24"/>
  <c r="F23"/>
  <c r="F21"/>
  <c r="F19"/>
  <c r="F17"/>
  <c r="F14"/>
  <c r="F12"/>
  <c r="K35" i="1"/>
  <c r="J35"/>
  <c r="I35"/>
  <c r="E35"/>
  <c r="H32"/>
  <c r="F26"/>
  <c r="F23"/>
  <c r="H17"/>
  <c r="F20"/>
  <c r="F16"/>
  <c r="I17" i="13"/>
  <c r="L18"/>
  <c r="L17"/>
  <c r="K19"/>
  <c r="J19"/>
  <c r="I19"/>
  <c r="H19"/>
  <c r="F19"/>
  <c r="E19"/>
  <c r="D19"/>
  <c r="D17"/>
  <c r="E17"/>
  <c r="F17"/>
  <c r="I18"/>
  <c r="F18"/>
  <c r="E18"/>
  <c r="D18"/>
  <c r="H23" i="23"/>
  <c r="J23"/>
  <c r="I23"/>
  <c r="K20"/>
  <c r="K14"/>
  <c r="K11"/>
  <c r="H27" i="36"/>
  <c r="H28"/>
  <c r="H29"/>
  <c r="H30"/>
  <c r="F31"/>
  <c r="G31"/>
  <c r="H31" s="1"/>
  <c r="F31" i="30"/>
  <c r="E31"/>
  <c r="G31" s="1"/>
  <c r="G30"/>
  <c r="G29"/>
  <c r="G28"/>
  <c r="L38" i="5"/>
  <c r="L55"/>
  <c r="G36" i="37"/>
  <c r="F36"/>
  <c r="H35"/>
  <c r="G12"/>
  <c r="F12"/>
  <c r="H11"/>
  <c r="H11" i="36"/>
  <c r="G11"/>
  <c r="F11"/>
  <c r="F13" i="30"/>
  <c r="G12"/>
  <c r="E13"/>
  <c r="G22" i="31"/>
  <c r="G20"/>
  <c r="G21"/>
  <c r="G19"/>
  <c r="G18"/>
  <c r="G15"/>
  <c r="G14"/>
  <c r="G12"/>
  <c r="G11"/>
  <c r="G10"/>
  <c r="F23"/>
  <c r="E17"/>
  <c r="G17" s="1"/>
  <c r="E16"/>
  <c r="G16" s="1"/>
  <c r="E13"/>
  <c r="G13" s="1"/>
  <c r="I71" i="5"/>
  <c r="K30"/>
  <c r="J30"/>
  <c r="I30"/>
  <c r="H30"/>
  <c r="G30"/>
  <c r="F30"/>
  <c r="F89"/>
  <c r="F70"/>
  <c r="F44"/>
  <c r="F43"/>
  <c r="K54"/>
  <c r="F54"/>
  <c r="E54"/>
  <c r="K72"/>
  <c r="I72"/>
  <c r="H72"/>
  <c r="G72"/>
  <c r="F72"/>
  <c r="E72"/>
  <c r="K88"/>
  <c r="F79"/>
  <c r="H78"/>
  <c r="G78"/>
  <c r="F78"/>
  <c r="I77"/>
  <c r="F77"/>
  <c r="F76"/>
  <c r="H75"/>
  <c r="G75"/>
  <c r="F75"/>
  <c r="H74"/>
  <c r="G74"/>
  <c r="F74"/>
  <c r="H73"/>
  <c r="G73"/>
  <c r="F73"/>
  <c r="K66"/>
  <c r="J66"/>
  <c r="I66"/>
  <c r="H66"/>
  <c r="G66"/>
  <c r="F66"/>
  <c r="E66"/>
  <c r="H71"/>
  <c r="G71"/>
  <c r="F71"/>
  <c r="H69"/>
  <c r="G69"/>
  <c r="F69"/>
  <c r="I58"/>
  <c r="H58"/>
  <c r="G58"/>
  <c r="F58"/>
  <c r="E58"/>
  <c r="H68"/>
  <c r="G68"/>
  <c r="F68"/>
  <c r="F65"/>
  <c r="H64"/>
  <c r="G64"/>
  <c r="F64"/>
  <c r="H62"/>
  <c r="G62"/>
  <c r="F62"/>
  <c r="H61"/>
  <c r="G61"/>
  <c r="F61"/>
  <c r="I60"/>
  <c r="F60"/>
  <c r="I59"/>
  <c r="H59"/>
  <c r="G59"/>
  <c r="F59"/>
  <c r="F57"/>
  <c r="F56"/>
  <c r="K45"/>
  <c r="J45"/>
  <c r="I45"/>
  <c r="H45"/>
  <c r="G45"/>
  <c r="E45"/>
  <c r="E91" s="1"/>
  <c r="H53"/>
  <c r="G53"/>
  <c r="F53"/>
  <c r="F52"/>
  <c r="H51"/>
  <c r="G51"/>
  <c r="F51"/>
  <c r="H50"/>
  <c r="G50"/>
  <c r="F50"/>
  <c r="K50"/>
  <c r="H49"/>
  <c r="G49"/>
  <c r="F49"/>
  <c r="H48"/>
  <c r="G48"/>
  <c r="F48"/>
  <c r="H47"/>
  <c r="G47"/>
  <c r="F47"/>
  <c r="H46"/>
  <c r="F46"/>
  <c r="J43"/>
  <c r="J44"/>
  <c r="F42"/>
  <c r="H39"/>
  <c r="G39"/>
  <c r="F39"/>
  <c r="K37"/>
  <c r="I37"/>
  <c r="H37"/>
  <c r="G37"/>
  <c r="F37"/>
  <c r="E37"/>
  <c r="F36"/>
  <c r="F35"/>
  <c r="H34"/>
  <c r="G34"/>
  <c r="F34"/>
  <c r="H33"/>
  <c r="G33"/>
  <c r="F33"/>
  <c r="F32"/>
  <c r="H31"/>
  <c r="H25"/>
  <c r="H28"/>
  <c r="G28"/>
  <c r="F28"/>
  <c r="F24"/>
  <c r="H21"/>
  <c r="H22"/>
  <c r="G22"/>
  <c r="F22"/>
  <c r="H19"/>
  <c r="G19"/>
  <c r="F19"/>
  <c r="H20"/>
  <c r="G20"/>
  <c r="C70" i="34"/>
  <c r="E98"/>
  <c r="E97"/>
  <c r="E96"/>
  <c r="E95"/>
  <c r="E94"/>
  <c r="E93"/>
  <c r="E92"/>
  <c r="D91"/>
  <c r="C91"/>
  <c r="C90"/>
  <c r="E90" s="1"/>
  <c r="E89"/>
  <c r="E88"/>
  <c r="D87"/>
  <c r="C87"/>
  <c r="E86"/>
  <c r="E85"/>
  <c r="D84"/>
  <c r="C84"/>
  <c r="D83"/>
  <c r="C83"/>
  <c r="D82"/>
  <c r="C82"/>
  <c r="E81"/>
  <c r="D80"/>
  <c r="C80"/>
  <c r="E79"/>
  <c r="E78"/>
  <c r="D77"/>
  <c r="C77"/>
  <c r="D76"/>
  <c r="C76"/>
  <c r="D75"/>
  <c r="C75"/>
  <c r="E74"/>
  <c r="D73"/>
  <c r="C73"/>
  <c r="E72"/>
  <c r="D71"/>
  <c r="C71"/>
  <c r="D70"/>
  <c r="D69"/>
  <c r="C69"/>
  <c r="D68"/>
  <c r="C68"/>
  <c r="E67"/>
  <c r="E66"/>
  <c r="D65"/>
  <c r="C65"/>
  <c r="D64"/>
  <c r="C64"/>
  <c r="E63"/>
  <c r="E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E52"/>
  <c r="D51"/>
  <c r="C51"/>
  <c r="E51" s="1"/>
  <c r="D50"/>
  <c r="C50"/>
  <c r="E50" s="1"/>
  <c r="D49"/>
  <c r="C49"/>
  <c r="E49" s="1"/>
  <c r="D48"/>
  <c r="C48"/>
  <c r="E48" s="1"/>
  <c r="D47"/>
  <c r="C47"/>
  <c r="E46"/>
  <c r="E45"/>
  <c r="E44"/>
  <c r="D43"/>
  <c r="C43"/>
  <c r="E42"/>
  <c r="D41"/>
  <c r="C41"/>
  <c r="E41" s="1"/>
  <c r="E40"/>
  <c r="D39"/>
  <c r="C39"/>
  <c r="D38"/>
  <c r="C38"/>
  <c r="E38"/>
  <c r="E37"/>
  <c r="D36"/>
  <c r="C36"/>
  <c r="D35"/>
  <c r="C35"/>
  <c r="E34"/>
  <c r="E33"/>
  <c r="E32"/>
  <c r="E31"/>
  <c r="D30"/>
  <c r="C30"/>
  <c r="D29"/>
  <c r="C29"/>
  <c r="D28"/>
  <c r="C28"/>
  <c r="D27"/>
  <c r="C27"/>
  <c r="D25"/>
  <c r="C25"/>
  <c r="E24"/>
  <c r="E23"/>
  <c r="D22"/>
  <c r="C22"/>
  <c r="E21"/>
  <c r="E20"/>
  <c r="D19"/>
  <c r="C19"/>
  <c r="D18"/>
  <c r="C18"/>
  <c r="E17"/>
  <c r="E16"/>
  <c r="D15"/>
  <c r="C15"/>
  <c r="E14"/>
  <c r="C13"/>
  <c r="E13" s="1"/>
  <c r="D12"/>
  <c r="C12"/>
  <c r="E11"/>
  <c r="D10"/>
  <c r="C10"/>
  <c r="E9"/>
  <c r="E8"/>
  <c r="E393"/>
  <c r="E144"/>
  <c r="E115"/>
  <c r="E549"/>
  <c r="E392"/>
  <c r="E119"/>
  <c r="E814"/>
  <c r="E114"/>
  <c r="E108"/>
  <c r="E810"/>
  <c r="E548"/>
  <c r="E391"/>
  <c r="E650"/>
  <c r="E547"/>
  <c r="E760"/>
  <c r="E546"/>
  <c r="E759"/>
  <c r="E545"/>
  <c r="E202"/>
  <c r="E805"/>
  <c r="E782"/>
  <c r="E758"/>
  <c r="E700"/>
  <c r="E649"/>
  <c r="E613"/>
  <c r="E573"/>
  <c r="E544"/>
  <c r="E495"/>
  <c r="E470"/>
  <c r="E449"/>
  <c r="E419"/>
  <c r="E405"/>
  <c r="E390"/>
  <c r="E319"/>
  <c r="E279"/>
  <c r="E238"/>
  <c r="E201"/>
  <c r="E141"/>
  <c r="E112"/>
  <c r="E160"/>
  <c r="E159"/>
  <c r="E726"/>
  <c r="E699"/>
  <c r="E648"/>
  <c r="E612"/>
  <c r="E543"/>
  <c r="E448"/>
  <c r="E389"/>
  <c r="E318"/>
  <c r="E278"/>
  <c r="E237"/>
  <c r="E199"/>
  <c r="E140"/>
  <c r="E725"/>
  <c r="E698"/>
  <c r="E542"/>
  <c r="E469"/>
  <c r="E447"/>
  <c r="E404"/>
  <c r="E388"/>
  <c r="E317"/>
  <c r="E277"/>
  <c r="E236"/>
  <c r="E198"/>
  <c r="E139"/>
  <c r="E804"/>
  <c r="E781"/>
  <c r="E757"/>
  <c r="E697"/>
  <c r="E647"/>
  <c r="E611"/>
  <c r="E572"/>
  <c r="E541"/>
  <c r="E494"/>
  <c r="E468"/>
  <c r="E446"/>
  <c r="E387"/>
  <c r="E350"/>
  <c r="E316"/>
  <c r="E276"/>
  <c r="E235"/>
  <c r="E196"/>
  <c r="E138"/>
  <c r="E803"/>
  <c r="E780"/>
  <c r="E756"/>
  <c r="E696"/>
  <c r="E646"/>
  <c r="E610"/>
  <c r="E587"/>
  <c r="E571"/>
  <c r="E540"/>
  <c r="E493"/>
  <c r="E467"/>
  <c r="E445"/>
  <c r="E418"/>
  <c r="E386"/>
  <c r="E349"/>
  <c r="E315"/>
  <c r="E275"/>
  <c r="E234"/>
  <c r="E194"/>
  <c r="E137"/>
  <c r="E779"/>
  <c r="E755"/>
  <c r="E645"/>
  <c r="E609"/>
  <c r="E539"/>
  <c r="E466"/>
  <c r="E444"/>
  <c r="E385"/>
  <c r="E348"/>
  <c r="E314"/>
  <c r="E274"/>
  <c r="E193"/>
  <c r="E105"/>
  <c r="E104"/>
  <c r="E820"/>
  <c r="E819"/>
  <c r="E807"/>
  <c r="E806"/>
  <c r="E784"/>
  <c r="E783"/>
  <c r="E703"/>
  <c r="E702"/>
  <c r="E652"/>
  <c r="E651"/>
  <c r="E553"/>
  <c r="E551"/>
  <c r="E398"/>
  <c r="E396"/>
  <c r="E352"/>
  <c r="E351"/>
  <c r="E322"/>
  <c r="E321"/>
  <c r="E282"/>
  <c r="E281"/>
  <c r="E207"/>
  <c r="E205"/>
  <c r="E152"/>
  <c r="E151"/>
  <c r="E701"/>
  <c r="E395"/>
  <c r="E320"/>
  <c r="E280"/>
  <c r="E204"/>
  <c r="E150"/>
  <c r="E754"/>
  <c r="E712"/>
  <c r="E695"/>
  <c r="E669"/>
  <c r="E644"/>
  <c r="E608"/>
  <c r="E586"/>
  <c r="E538"/>
  <c r="E492"/>
  <c r="E465"/>
  <c r="E443"/>
  <c r="E384"/>
  <c r="E347"/>
  <c r="E313"/>
  <c r="E273"/>
  <c r="E233"/>
  <c r="E192"/>
  <c r="E778"/>
  <c r="E694"/>
  <c r="E643"/>
  <c r="E537"/>
  <c r="E383"/>
  <c r="E346"/>
  <c r="E312"/>
  <c r="E272"/>
  <c r="E232"/>
  <c r="E191"/>
  <c r="E113"/>
  <c r="E536"/>
  <c r="E802"/>
  <c r="E777"/>
  <c r="E753"/>
  <c r="E724"/>
  <c r="E720"/>
  <c r="E711"/>
  <c r="E693"/>
  <c r="E668"/>
  <c r="E658"/>
  <c r="E642"/>
  <c r="E607"/>
  <c r="E585"/>
  <c r="E570"/>
  <c r="E535"/>
  <c r="E491"/>
  <c r="E464"/>
  <c r="E442"/>
  <c r="E382"/>
  <c r="E345"/>
  <c r="E311"/>
  <c r="E271"/>
  <c r="E231"/>
  <c r="E190"/>
  <c r="E107"/>
  <c r="E344"/>
  <c r="E310"/>
  <c r="E270"/>
  <c r="E149"/>
  <c r="E801"/>
  <c r="E776"/>
  <c r="E752"/>
  <c r="E692"/>
  <c r="E667"/>
  <c r="E641"/>
  <c r="E606"/>
  <c r="E584"/>
  <c r="E534"/>
  <c r="E490"/>
  <c r="E441"/>
  <c r="E417"/>
  <c r="E403"/>
  <c r="E381"/>
  <c r="E343"/>
  <c r="E309"/>
  <c r="E269"/>
  <c r="E230"/>
  <c r="E189"/>
  <c r="E800"/>
  <c r="E775"/>
  <c r="E719"/>
  <c r="E710"/>
  <c r="E691"/>
  <c r="E666"/>
  <c r="E640"/>
  <c r="E605"/>
  <c r="E583"/>
  <c r="E569"/>
  <c r="E533"/>
  <c r="E489"/>
  <c r="E463"/>
  <c r="E440"/>
  <c r="E402"/>
  <c r="E380"/>
  <c r="E342"/>
  <c r="E308"/>
  <c r="E268"/>
  <c r="E229"/>
  <c r="E188"/>
  <c r="E118"/>
  <c r="E731"/>
  <c r="E187"/>
  <c r="E117"/>
  <c r="E106"/>
  <c r="E148"/>
  <c r="E690"/>
  <c r="E639"/>
  <c r="E604"/>
  <c r="E532"/>
  <c r="E488"/>
  <c r="E416"/>
  <c r="E401"/>
  <c r="E379"/>
  <c r="E341"/>
  <c r="E307"/>
  <c r="E267"/>
  <c r="E228"/>
  <c r="E186"/>
  <c r="E147"/>
  <c r="E799"/>
  <c r="E774"/>
  <c r="E751"/>
  <c r="E689"/>
  <c r="E665"/>
  <c r="E638"/>
  <c r="E603"/>
  <c r="E582"/>
  <c r="E568"/>
  <c r="E531"/>
  <c r="E487"/>
  <c r="E462"/>
  <c r="E439"/>
  <c r="E415"/>
  <c r="E400"/>
  <c r="E378"/>
  <c r="E340"/>
  <c r="E306"/>
  <c r="E266"/>
  <c r="E227"/>
  <c r="E185"/>
  <c r="E146"/>
  <c r="E136"/>
  <c r="E325"/>
  <c r="E324"/>
  <c r="E323"/>
  <c r="E530"/>
  <c r="E377"/>
  <c r="E376"/>
  <c r="E339"/>
  <c r="E305"/>
  <c r="E265"/>
  <c r="E813"/>
  <c r="E688"/>
  <c r="E529"/>
  <c r="E438"/>
  <c r="E399"/>
  <c r="E375"/>
  <c r="E304"/>
  <c r="E264"/>
  <c r="E184"/>
  <c r="E528"/>
  <c r="E750"/>
  <c r="E527"/>
  <c r="E637"/>
  <c r="E526"/>
  <c r="E525"/>
  <c r="E798"/>
  <c r="E636"/>
  <c r="E524"/>
  <c r="E635"/>
  <c r="E523"/>
  <c r="E414"/>
  <c r="E723"/>
  <c r="E687"/>
  <c r="E709"/>
  <c r="E664"/>
  <c r="E602"/>
  <c r="E522"/>
  <c r="E486"/>
  <c r="E461"/>
  <c r="E437"/>
  <c r="E374"/>
  <c r="E338"/>
  <c r="E303"/>
  <c r="E263"/>
  <c r="E183"/>
  <c r="E182"/>
  <c r="E158"/>
  <c r="E111"/>
  <c r="E797"/>
  <c r="E773"/>
  <c r="E749"/>
  <c r="E686"/>
  <c r="E657"/>
  <c r="E634"/>
  <c r="E601"/>
  <c r="E567"/>
  <c r="E521"/>
  <c r="E485"/>
  <c r="E460"/>
  <c r="E436"/>
  <c r="E413"/>
  <c r="E373"/>
  <c r="E337"/>
  <c r="E302"/>
  <c r="E262"/>
  <c r="E226"/>
  <c r="E181"/>
  <c r="E135"/>
  <c r="E796"/>
  <c r="E685"/>
  <c r="E633"/>
  <c r="E600"/>
  <c r="E581"/>
  <c r="E566"/>
  <c r="E520"/>
  <c r="E484"/>
  <c r="E459"/>
  <c r="E435"/>
  <c r="E412"/>
  <c r="E372"/>
  <c r="E301"/>
  <c r="E261"/>
  <c r="E225"/>
  <c r="E180"/>
  <c r="E157"/>
  <c r="E134"/>
  <c r="E818"/>
  <c r="E795"/>
  <c r="E772"/>
  <c r="E748"/>
  <c r="E730"/>
  <c r="E722"/>
  <c r="E708"/>
  <c r="E684"/>
  <c r="E663"/>
  <c r="E632"/>
  <c r="E599"/>
  <c r="E580"/>
  <c r="E565"/>
  <c r="E519"/>
  <c r="E483"/>
  <c r="E458"/>
  <c r="E434"/>
  <c r="E371"/>
  <c r="E336"/>
  <c r="E300"/>
  <c r="E260"/>
  <c r="E224"/>
  <c r="E179"/>
  <c r="E156"/>
  <c r="E133"/>
  <c r="E178"/>
  <c r="E110"/>
  <c r="E299"/>
  <c r="E259"/>
  <c r="E223"/>
  <c r="E794"/>
  <c r="E771"/>
  <c r="E747"/>
  <c r="E683"/>
  <c r="E656"/>
  <c r="E631"/>
  <c r="E598"/>
  <c r="E564"/>
  <c r="E518"/>
  <c r="E482"/>
  <c r="E457"/>
  <c r="E433"/>
  <c r="E411"/>
  <c r="E370"/>
  <c r="E335"/>
  <c r="E298"/>
  <c r="E258"/>
  <c r="E222"/>
  <c r="E177"/>
  <c r="E132"/>
  <c r="E793"/>
  <c r="E770"/>
  <c r="E746"/>
  <c r="E682"/>
  <c r="E630"/>
  <c r="E597"/>
  <c r="E579"/>
  <c r="E563"/>
  <c r="E517"/>
  <c r="E481"/>
  <c r="E432"/>
  <c r="E369"/>
  <c r="E297"/>
  <c r="E257"/>
  <c r="E221"/>
  <c r="E176"/>
  <c r="E131"/>
  <c r="E552"/>
  <c r="E550"/>
  <c r="E516"/>
  <c r="E397"/>
  <c r="E394"/>
  <c r="E175"/>
  <c r="E155"/>
  <c r="E109"/>
  <c r="E792"/>
  <c r="E769"/>
  <c r="E745"/>
  <c r="E681"/>
  <c r="E629"/>
  <c r="E596"/>
  <c r="E578"/>
  <c r="E562"/>
  <c r="E515"/>
  <c r="E480"/>
  <c r="E431"/>
  <c r="E368"/>
  <c r="E296"/>
  <c r="E256"/>
  <c r="E220"/>
  <c r="E174"/>
  <c r="E130"/>
  <c r="E791"/>
  <c r="E768"/>
  <c r="E744"/>
  <c r="E680"/>
  <c r="E655"/>
  <c r="E628"/>
  <c r="E595"/>
  <c r="E561"/>
  <c r="E513"/>
  <c r="E479"/>
  <c r="E456"/>
  <c r="E430"/>
  <c r="E410"/>
  <c r="E367"/>
  <c r="E334"/>
  <c r="E295"/>
  <c r="E255"/>
  <c r="E219"/>
  <c r="E173"/>
  <c r="E129"/>
  <c r="E767"/>
  <c r="E738"/>
  <c r="E729"/>
  <c r="E679"/>
  <c r="E627"/>
  <c r="E594"/>
  <c r="E577"/>
  <c r="E512"/>
  <c r="E429"/>
  <c r="E409"/>
  <c r="E366"/>
  <c r="E333"/>
  <c r="E294"/>
  <c r="E254"/>
  <c r="E218"/>
  <c r="E172"/>
  <c r="E128"/>
  <c r="E817"/>
  <c r="E790"/>
  <c r="E766"/>
  <c r="E743"/>
  <c r="E678"/>
  <c r="E626"/>
  <c r="E593"/>
  <c r="E560"/>
  <c r="E511"/>
  <c r="E478"/>
  <c r="E455"/>
  <c r="E428"/>
  <c r="E408"/>
  <c r="E365"/>
  <c r="E332"/>
  <c r="E293"/>
  <c r="E253"/>
  <c r="E217"/>
  <c r="E171"/>
  <c r="E127"/>
  <c r="E170"/>
  <c r="E154"/>
  <c r="E677"/>
  <c r="E559"/>
  <c r="E510"/>
  <c r="E477"/>
  <c r="E427"/>
  <c r="E407"/>
  <c r="E364"/>
  <c r="E292"/>
  <c r="E252"/>
  <c r="E216"/>
  <c r="E169"/>
  <c r="E126"/>
  <c r="E676"/>
  <c r="E291"/>
  <c r="E251"/>
  <c r="E215"/>
  <c r="E168"/>
  <c r="E125"/>
  <c r="E509"/>
  <c r="E167"/>
  <c r="E153"/>
  <c r="E789"/>
  <c r="E765"/>
  <c r="E742"/>
  <c r="E675"/>
  <c r="E625"/>
  <c r="E592"/>
  <c r="E558"/>
  <c r="E508"/>
  <c r="E476"/>
  <c r="E426"/>
  <c r="E406"/>
  <c r="E363"/>
  <c r="E331"/>
  <c r="E290"/>
  <c r="E250"/>
  <c r="E214"/>
  <c r="C166"/>
  <c r="E166" s="1"/>
  <c r="E124"/>
  <c r="E824"/>
  <c r="E823"/>
  <c r="E809"/>
  <c r="E507"/>
  <c r="E362"/>
  <c r="E116"/>
  <c r="E788"/>
  <c r="E764"/>
  <c r="E716"/>
  <c r="E713"/>
  <c r="E707"/>
  <c r="E674"/>
  <c r="E662"/>
  <c r="E624"/>
  <c r="E591"/>
  <c r="E576"/>
  <c r="E557"/>
  <c r="E506"/>
  <c r="E475"/>
  <c r="E454"/>
  <c r="E425"/>
  <c r="E420"/>
  <c r="E361"/>
  <c r="E353"/>
  <c r="E330"/>
  <c r="E289"/>
  <c r="E249"/>
  <c r="E242"/>
  <c r="E241"/>
  <c r="E240"/>
  <c r="E239"/>
  <c r="E213"/>
  <c r="E209"/>
  <c r="E145"/>
  <c r="E821"/>
  <c r="E121"/>
  <c r="E661"/>
  <c r="E120"/>
  <c r="E816"/>
  <c r="E505"/>
  <c r="E360"/>
  <c r="E619"/>
  <c r="E504"/>
  <c r="E474"/>
  <c r="E359"/>
  <c r="E329"/>
  <c r="E288"/>
  <c r="E248"/>
  <c r="E822"/>
  <c r="E812"/>
  <c r="E787"/>
  <c r="E763"/>
  <c r="E741"/>
  <c r="E737"/>
  <c r="E732"/>
  <c r="E673"/>
  <c r="E660"/>
  <c r="E654"/>
  <c r="E623"/>
  <c r="E618"/>
  <c r="E614"/>
  <c r="E590"/>
  <c r="E575"/>
  <c r="E556"/>
  <c r="E503"/>
  <c r="E473"/>
  <c r="E453"/>
  <c r="E424"/>
  <c r="E358"/>
  <c r="E328"/>
  <c r="E326"/>
  <c r="E287"/>
  <c r="E247"/>
  <c r="E212"/>
  <c r="E165"/>
  <c r="E123"/>
  <c r="E653"/>
  <c r="E622"/>
  <c r="E502"/>
  <c r="E357"/>
  <c r="E143"/>
  <c r="E286"/>
  <c r="E246"/>
  <c r="E164"/>
  <c r="E786"/>
  <c r="E762"/>
  <c r="E740"/>
  <c r="E736"/>
  <c r="E727"/>
  <c r="E706"/>
  <c r="E672"/>
  <c r="E659"/>
  <c r="E621"/>
  <c r="E617"/>
  <c r="E589"/>
  <c r="E555"/>
  <c r="E501"/>
  <c r="E472"/>
  <c r="E452"/>
  <c r="E356"/>
  <c r="E285"/>
  <c r="E245"/>
  <c r="E211"/>
  <c r="E208"/>
  <c r="E163"/>
  <c r="E500"/>
  <c r="E499"/>
  <c r="E735"/>
  <c r="E728"/>
  <c r="E721"/>
  <c r="E718"/>
  <c r="E715"/>
  <c r="E705"/>
  <c r="E616"/>
  <c r="E615"/>
  <c r="E498"/>
  <c r="E451"/>
  <c r="E423"/>
  <c r="E355"/>
  <c r="E815"/>
  <c r="E811"/>
  <c r="E785"/>
  <c r="E761"/>
  <c r="E739"/>
  <c r="E734"/>
  <c r="E717"/>
  <c r="E714"/>
  <c r="E704"/>
  <c r="E671"/>
  <c r="E620"/>
  <c r="E588"/>
  <c r="E574"/>
  <c r="E554"/>
  <c r="E497"/>
  <c r="E471"/>
  <c r="E450"/>
  <c r="E422"/>
  <c r="E354"/>
  <c r="E327"/>
  <c r="E284"/>
  <c r="E244"/>
  <c r="E210"/>
  <c r="E162"/>
  <c r="E122"/>
  <c r="E808"/>
  <c r="E670"/>
  <c r="E421"/>
  <c r="E283"/>
  <c r="E243"/>
  <c r="E206"/>
  <c r="E203"/>
  <c r="E161"/>
  <c r="E496"/>
  <c r="E142"/>
  <c r="E733"/>
  <c r="E514"/>
  <c r="G821" i="26"/>
  <c r="G828"/>
  <c r="G831"/>
  <c r="G511"/>
  <c r="G498"/>
  <c r="G494"/>
  <c r="G493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377"/>
  <c r="G330"/>
  <c r="G329"/>
  <c r="G328"/>
  <c r="G327"/>
  <c r="G326"/>
  <c r="G325"/>
  <c r="G324"/>
  <c r="G242"/>
  <c r="G241"/>
  <c r="G240"/>
  <c r="G218"/>
  <c r="G217"/>
  <c r="G216"/>
  <c r="G215"/>
  <c r="G680"/>
  <c r="G679"/>
  <c r="G678"/>
  <c r="G677"/>
  <c r="G703"/>
  <c r="G702"/>
  <c r="F717"/>
  <c r="F718"/>
  <c r="G718" s="1"/>
  <c r="F739"/>
  <c r="G742"/>
  <c r="F741"/>
  <c r="F742"/>
  <c r="G840"/>
  <c r="G839"/>
  <c r="G838"/>
  <c r="G851"/>
  <c r="G850"/>
  <c r="G849"/>
  <c r="G848"/>
  <c r="F848"/>
  <c r="F464"/>
  <c r="F822"/>
  <c r="F676"/>
  <c r="F581"/>
  <c r="F510"/>
  <c r="F829"/>
  <c r="F793"/>
  <c r="F424"/>
  <c r="F795"/>
  <c r="F777"/>
  <c r="F265"/>
  <c r="G800"/>
  <c r="F799"/>
  <c r="F800"/>
  <c r="F483"/>
  <c r="F449"/>
  <c r="F227"/>
  <c r="F196"/>
  <c r="G196" s="1"/>
  <c r="F240"/>
  <c r="F195"/>
  <c r="F551"/>
  <c r="F144"/>
  <c r="E464"/>
  <c r="E792"/>
  <c r="E795"/>
  <c r="E793"/>
  <c r="F792"/>
  <c r="F701"/>
  <c r="F493"/>
  <c r="F504"/>
  <c r="E378"/>
  <c r="E243"/>
  <c r="E331"/>
  <c r="F215"/>
  <c r="G154"/>
  <c r="G153"/>
  <c r="G189"/>
  <c r="G188"/>
  <c r="G187"/>
  <c r="G185"/>
  <c r="F184"/>
  <c r="F186"/>
  <c r="G186" s="1"/>
  <c r="F152"/>
  <c r="F481"/>
  <c r="F478"/>
  <c r="F475"/>
  <c r="F473"/>
  <c r="F469"/>
  <c r="F465"/>
  <c r="E481"/>
  <c r="E478"/>
  <c r="E475"/>
  <c r="E473"/>
  <c r="E469"/>
  <c r="E465"/>
  <c r="F445"/>
  <c r="F378" s="1"/>
  <c r="E445"/>
  <c r="F375"/>
  <c r="E375"/>
  <c r="F322"/>
  <c r="E322"/>
  <c r="F19"/>
  <c r="G27"/>
  <c r="G26"/>
  <c r="G25"/>
  <c r="G24"/>
  <c r="G23"/>
  <c r="G22"/>
  <c r="G21"/>
  <c r="G20"/>
  <c r="E848"/>
  <c r="E844"/>
  <c r="G847"/>
  <c r="G837"/>
  <c r="E833"/>
  <c r="E832" s="1"/>
  <c r="G836"/>
  <c r="E829"/>
  <c r="E826"/>
  <c r="E800"/>
  <c r="E799" s="1"/>
  <c r="G820"/>
  <c r="G817"/>
  <c r="G810"/>
  <c r="G790"/>
  <c r="E777"/>
  <c r="G789"/>
  <c r="G773"/>
  <c r="G761"/>
  <c r="E742"/>
  <c r="E741" s="1"/>
  <c r="G751"/>
  <c r="G739"/>
  <c r="E718"/>
  <c r="E717" s="1"/>
  <c r="G674"/>
  <c r="E676"/>
  <c r="G700"/>
  <c r="G699"/>
  <c r="G698"/>
  <c r="G697"/>
  <c r="G696"/>
  <c r="G695"/>
  <c r="E701"/>
  <c r="G714"/>
  <c r="G713"/>
  <c r="G710"/>
  <c r="G665"/>
  <c r="G627"/>
  <c r="G625"/>
  <c r="G624"/>
  <c r="G614"/>
  <c r="E581"/>
  <c r="G600"/>
  <c r="G599"/>
  <c r="G597"/>
  <c r="G596"/>
  <c r="G583"/>
  <c r="G577"/>
  <c r="G571"/>
  <c r="E551"/>
  <c r="G555"/>
  <c r="G554"/>
  <c r="G546"/>
  <c r="G544"/>
  <c r="G540"/>
  <c r="E510"/>
  <c r="E504"/>
  <c r="E240"/>
  <c r="E483"/>
  <c r="E449"/>
  <c r="E424"/>
  <c r="G415"/>
  <c r="G407"/>
  <c r="G398"/>
  <c r="E350"/>
  <c r="G368"/>
  <c r="G301"/>
  <c r="G299"/>
  <c r="E265"/>
  <c r="G282"/>
  <c r="G281"/>
  <c r="G271"/>
  <c r="E244"/>
  <c r="G264"/>
  <c r="E215"/>
  <c r="E198"/>
  <c r="E196" s="1"/>
  <c r="E186"/>
  <c r="G184"/>
  <c r="E152"/>
  <c r="G152" s="1"/>
  <c r="E144"/>
  <c r="G147"/>
  <c r="G134"/>
  <c r="G130"/>
  <c r="G113"/>
  <c r="G90"/>
  <c r="G88"/>
  <c r="G67"/>
  <c r="G63"/>
  <c r="G62"/>
  <c r="G61"/>
  <c r="G47"/>
  <c r="E19"/>
  <c r="J91" i="5" l="1"/>
  <c r="H91"/>
  <c r="H100" i="33"/>
  <c r="C48" i="39"/>
  <c r="D48"/>
  <c r="G30" i="9"/>
  <c r="H30" s="1"/>
  <c r="G64"/>
  <c r="F124" i="33"/>
  <c r="H225"/>
  <c r="F154"/>
  <c r="G11"/>
  <c r="G227" s="1"/>
  <c r="H227" s="1"/>
  <c r="F224"/>
  <c r="F99"/>
  <c r="H78"/>
  <c r="E74"/>
  <c r="F74"/>
  <c r="H75"/>
  <c r="E23" i="31"/>
  <c r="G23" s="1"/>
  <c r="H36" i="37"/>
  <c r="H12"/>
  <c r="G13" i="30"/>
  <c r="F45" i="5"/>
  <c r="E71" i="34"/>
  <c r="E75"/>
  <c r="E76"/>
  <c r="D99"/>
  <c r="C26"/>
  <c r="C825" s="1"/>
  <c r="C827" s="1"/>
  <c r="E91"/>
  <c r="C99"/>
  <c r="E56"/>
  <c r="E57"/>
  <c r="E58"/>
  <c r="E60"/>
  <c r="E61"/>
  <c r="E65"/>
  <c r="E68"/>
  <c r="E82"/>
  <c r="E25"/>
  <c r="E28"/>
  <c r="E29"/>
  <c r="E36"/>
  <c r="E39"/>
  <c r="E54"/>
  <c r="E55"/>
  <c r="E73"/>
  <c r="E80"/>
  <c r="E87"/>
  <c r="E84"/>
  <c r="E83"/>
  <c r="E77"/>
  <c r="E70"/>
  <c r="E69"/>
  <c r="E64"/>
  <c r="E59"/>
  <c r="E53"/>
  <c r="E47"/>
  <c r="E43"/>
  <c r="E35"/>
  <c r="E30"/>
  <c r="E27"/>
  <c r="E26"/>
  <c r="E10"/>
  <c r="E15"/>
  <c r="E19"/>
  <c r="E22"/>
  <c r="E18"/>
  <c r="E12"/>
  <c r="G19" i="26"/>
  <c r="E195"/>
  <c r="H64" i="9" l="1"/>
  <c r="G152"/>
  <c r="H74" i="33"/>
  <c r="E99" i="34"/>
  <c r="D42" i="4"/>
  <c r="D44"/>
  <c r="D66"/>
  <c r="D62"/>
  <c r="D52"/>
  <c r="D51"/>
  <c r="D33"/>
  <c r="D32"/>
  <c r="D27"/>
  <c r="D19"/>
  <c r="D17"/>
  <c r="D15"/>
  <c r="D14"/>
  <c r="D12"/>
  <c r="E26" i="29"/>
  <c r="E23"/>
  <c r="D91" i="5"/>
  <c r="D87"/>
  <c r="L90"/>
  <c r="D83"/>
  <c r="L86"/>
  <c r="L85"/>
  <c r="D54"/>
  <c r="D45"/>
  <c r="L53"/>
  <c r="L51"/>
  <c r="D37"/>
  <c r="L42"/>
  <c r="L41"/>
  <c r="E145" i="9"/>
  <c r="E143"/>
  <c r="E135"/>
  <c r="E130"/>
  <c r="E119"/>
  <c r="F119"/>
  <c r="F118" s="1"/>
  <c r="E112"/>
  <c r="E109"/>
  <c r="E95"/>
  <c r="E80"/>
  <c r="E62"/>
  <c r="E60"/>
  <c r="E58"/>
  <c r="E56"/>
  <c r="E39"/>
  <c r="E31"/>
  <c r="E23"/>
  <c r="E18"/>
  <c r="E15"/>
  <c r="H15" s="1"/>
  <c r="E220" i="33"/>
  <c r="H223"/>
  <c r="E218"/>
  <c r="E212"/>
  <c r="H212" s="1"/>
  <c r="E215"/>
  <c r="H215" s="1"/>
  <c r="E201"/>
  <c r="E171"/>
  <c r="E155"/>
  <c r="E163"/>
  <c r="H163" s="1"/>
  <c r="E129" i="9" l="1"/>
  <c r="E55"/>
  <c r="E154" i="33"/>
  <c r="H155"/>
  <c r="D50" i="4"/>
  <c r="E118" i="9"/>
  <c r="E211" i="33"/>
  <c r="E144" l="1"/>
  <c r="H144" s="1"/>
  <c r="E137"/>
  <c r="H137" s="1"/>
  <c r="E131"/>
  <c r="H131" s="1"/>
  <c r="E125"/>
  <c r="H129"/>
  <c r="E118"/>
  <c r="H118" s="1"/>
  <c r="E107"/>
  <c r="H107" s="1"/>
  <c r="E113"/>
  <c r="H113" s="1"/>
  <c r="H64"/>
  <c r="E25"/>
  <c r="E22"/>
  <c r="G846" i="26"/>
  <c r="G845"/>
  <c r="F844"/>
  <c r="G843"/>
  <c r="F842"/>
  <c r="E842"/>
  <c r="E841" s="1"/>
  <c r="G835"/>
  <c r="G834"/>
  <c r="F833"/>
  <c r="G830"/>
  <c r="G827"/>
  <c r="F826"/>
  <c r="G825"/>
  <c r="G824"/>
  <c r="F823"/>
  <c r="E823"/>
  <c r="G819"/>
  <c r="G818"/>
  <c r="G816"/>
  <c r="G815"/>
  <c r="G814"/>
  <c r="G813"/>
  <c r="G812"/>
  <c r="G811"/>
  <c r="G809"/>
  <c r="G808"/>
  <c r="G807"/>
  <c r="G806"/>
  <c r="G805"/>
  <c r="G804"/>
  <c r="G803"/>
  <c r="G802"/>
  <c r="G801"/>
  <c r="G798"/>
  <c r="F797"/>
  <c r="E797"/>
  <c r="G796"/>
  <c r="G795"/>
  <c r="G794"/>
  <c r="G793"/>
  <c r="G788"/>
  <c r="G787"/>
  <c r="G786"/>
  <c r="G785"/>
  <c r="G784"/>
  <c r="G783"/>
  <c r="G782"/>
  <c r="G781"/>
  <c r="G780"/>
  <c r="G779"/>
  <c r="G778"/>
  <c r="G776"/>
  <c r="G775"/>
  <c r="G774"/>
  <c r="G772"/>
  <c r="G771"/>
  <c r="G770"/>
  <c r="G769"/>
  <c r="G768"/>
  <c r="G767"/>
  <c r="G766"/>
  <c r="G765"/>
  <c r="F764"/>
  <c r="E764"/>
  <c r="E763" s="1"/>
  <c r="G760"/>
  <c r="G759"/>
  <c r="G758"/>
  <c r="G757"/>
  <c r="G756"/>
  <c r="G755"/>
  <c r="G754"/>
  <c r="G753"/>
  <c r="G752"/>
  <c r="G750"/>
  <c r="G749"/>
  <c r="G748"/>
  <c r="G747"/>
  <c r="G746"/>
  <c r="G745"/>
  <c r="G744"/>
  <c r="G743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5"/>
  <c r="G712"/>
  <c r="G711"/>
  <c r="G709"/>
  <c r="G708"/>
  <c r="G707"/>
  <c r="G706"/>
  <c r="G705"/>
  <c r="G704"/>
  <c r="G694"/>
  <c r="G693"/>
  <c r="G692"/>
  <c r="G691"/>
  <c r="G690"/>
  <c r="G689"/>
  <c r="G688"/>
  <c r="G687"/>
  <c r="G686"/>
  <c r="G685"/>
  <c r="G684"/>
  <c r="G683"/>
  <c r="G682"/>
  <c r="G681"/>
  <c r="G675"/>
  <c r="G673"/>
  <c r="G672"/>
  <c r="G671"/>
  <c r="F670"/>
  <c r="E670"/>
  <c r="G668"/>
  <c r="F667"/>
  <c r="E667"/>
  <c r="G666"/>
  <c r="G664"/>
  <c r="G663"/>
  <c r="G662"/>
  <c r="G661"/>
  <c r="G660"/>
  <c r="G659"/>
  <c r="G658"/>
  <c r="G657"/>
  <c r="G656"/>
  <c r="G655"/>
  <c r="G654"/>
  <c r="G653"/>
  <c r="G652"/>
  <c r="G651"/>
  <c r="G650"/>
  <c r="F649"/>
  <c r="E649"/>
  <c r="G648"/>
  <c r="G647"/>
  <c r="G646"/>
  <c r="G645"/>
  <c r="G644"/>
  <c r="G643"/>
  <c r="G642"/>
  <c r="G641"/>
  <c r="G640"/>
  <c r="G639"/>
  <c r="F638"/>
  <c r="E638"/>
  <c r="G637"/>
  <c r="F636"/>
  <c r="E636"/>
  <c r="G634"/>
  <c r="F633"/>
  <c r="E633"/>
  <c r="G632"/>
  <c r="G631"/>
  <c r="G630"/>
  <c r="G629"/>
  <c r="G628"/>
  <c r="G626"/>
  <c r="G623"/>
  <c r="G622"/>
  <c r="G621"/>
  <c r="G620"/>
  <c r="G619"/>
  <c r="G618"/>
  <c r="G617"/>
  <c r="G616"/>
  <c r="G615"/>
  <c r="G613"/>
  <c r="G612"/>
  <c r="G611"/>
  <c r="G610"/>
  <c r="F609"/>
  <c r="E609"/>
  <c r="G608"/>
  <c r="F607"/>
  <c r="E607"/>
  <c r="G606"/>
  <c r="G605"/>
  <c r="G604"/>
  <c r="G603"/>
  <c r="F602"/>
  <c r="E602"/>
  <c r="G598"/>
  <c r="G595"/>
  <c r="G594"/>
  <c r="G593"/>
  <c r="G592"/>
  <c r="G591"/>
  <c r="G590"/>
  <c r="G589"/>
  <c r="G588"/>
  <c r="G587"/>
  <c r="G586"/>
  <c r="G585"/>
  <c r="G584"/>
  <c r="G582"/>
  <c r="G580"/>
  <c r="G579"/>
  <c r="G578"/>
  <c r="G576"/>
  <c r="G575"/>
  <c r="G574"/>
  <c r="G573"/>
  <c r="G572"/>
  <c r="G570"/>
  <c r="G569"/>
  <c r="G568"/>
  <c r="G567"/>
  <c r="G566"/>
  <c r="G565"/>
  <c r="G564"/>
  <c r="G563"/>
  <c r="G562"/>
  <c r="G561"/>
  <c r="G560"/>
  <c r="F559"/>
  <c r="E559"/>
  <c r="G557"/>
  <c r="F556"/>
  <c r="E556"/>
  <c r="G553"/>
  <c r="G552"/>
  <c r="G550"/>
  <c r="F549"/>
  <c r="E549"/>
  <c r="G548"/>
  <c r="G547"/>
  <c r="G545"/>
  <c r="G543"/>
  <c r="G542"/>
  <c r="G541"/>
  <c r="G539"/>
  <c r="G538"/>
  <c r="G537"/>
  <c r="G536"/>
  <c r="G535"/>
  <c r="F534"/>
  <c r="E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07"/>
  <c r="G506"/>
  <c r="G505"/>
  <c r="G503"/>
  <c r="G502"/>
  <c r="F501"/>
  <c r="E501"/>
  <c r="G500"/>
  <c r="G499"/>
  <c r="G497"/>
  <c r="F496"/>
  <c r="E496"/>
  <c r="G446"/>
  <c r="G423"/>
  <c r="G422"/>
  <c r="G421"/>
  <c r="G420"/>
  <c r="G419"/>
  <c r="G418"/>
  <c r="G417"/>
  <c r="G416"/>
  <c r="G414"/>
  <c r="G413"/>
  <c r="G412"/>
  <c r="G411"/>
  <c r="G410"/>
  <c r="G409"/>
  <c r="G408"/>
  <c r="G406"/>
  <c r="F405"/>
  <c r="E405"/>
  <c r="G404"/>
  <c r="G403"/>
  <c r="G402"/>
  <c r="G401"/>
  <c r="G400"/>
  <c r="G399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F379"/>
  <c r="E379"/>
  <c r="G376"/>
  <c r="G374"/>
  <c r="G373"/>
  <c r="G372"/>
  <c r="F371"/>
  <c r="E371"/>
  <c r="G370"/>
  <c r="G369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F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F332"/>
  <c r="E332"/>
  <c r="G323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F304"/>
  <c r="E304"/>
  <c r="G303"/>
  <c r="G302"/>
  <c r="G300"/>
  <c r="G298"/>
  <c r="G297"/>
  <c r="G296"/>
  <c r="G295"/>
  <c r="G294"/>
  <c r="G293"/>
  <c r="G292"/>
  <c r="G291"/>
  <c r="G290"/>
  <c r="G289"/>
  <c r="G288"/>
  <c r="G287"/>
  <c r="G286"/>
  <c r="G285"/>
  <c r="G284"/>
  <c r="F283"/>
  <c r="E283"/>
  <c r="G280"/>
  <c r="G279"/>
  <c r="G278"/>
  <c r="G277"/>
  <c r="G276"/>
  <c r="G275"/>
  <c r="G274"/>
  <c r="G273"/>
  <c r="G272"/>
  <c r="G270"/>
  <c r="G269"/>
  <c r="G268"/>
  <c r="G267"/>
  <c r="G266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F244"/>
  <c r="G239"/>
  <c r="G238"/>
  <c r="G237"/>
  <c r="G236"/>
  <c r="G235"/>
  <c r="G234"/>
  <c r="G233"/>
  <c r="G232"/>
  <c r="G231"/>
  <c r="G230"/>
  <c r="G229"/>
  <c r="G228"/>
  <c r="E227"/>
  <c r="G226"/>
  <c r="G225"/>
  <c r="G224"/>
  <c r="G223"/>
  <c r="G222"/>
  <c r="G221"/>
  <c r="F220"/>
  <c r="F219" s="1"/>
  <c r="E220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3"/>
  <c r="G192"/>
  <c r="F191"/>
  <c r="E191"/>
  <c r="E190" s="1"/>
  <c r="F190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F155"/>
  <c r="F151" s="1"/>
  <c r="E155"/>
  <c r="E151" s="1"/>
  <c r="G150"/>
  <c r="G149"/>
  <c r="F148"/>
  <c r="E148"/>
  <c r="G146"/>
  <c r="G145"/>
  <c r="G143"/>
  <c r="G142"/>
  <c r="G141"/>
  <c r="G140"/>
  <c r="G139"/>
  <c r="G138"/>
  <c r="G137"/>
  <c r="F136"/>
  <c r="E136"/>
  <c r="G135"/>
  <c r="G133"/>
  <c r="G132"/>
  <c r="G131"/>
  <c r="G129"/>
  <c r="G128"/>
  <c r="G127"/>
  <c r="G126"/>
  <c r="G125"/>
  <c r="G124"/>
  <c r="G123"/>
  <c r="G122"/>
  <c r="G121"/>
  <c r="G120"/>
  <c r="G119"/>
  <c r="G118"/>
  <c r="G117"/>
  <c r="G116"/>
  <c r="G115"/>
  <c r="G114"/>
  <c r="G112"/>
  <c r="G111"/>
  <c r="G110"/>
  <c r="G109"/>
  <c r="G108"/>
  <c r="F107"/>
  <c r="E107"/>
  <c r="G106"/>
  <c r="G105"/>
  <c r="G104"/>
  <c r="G103"/>
  <c r="G102"/>
  <c r="F101"/>
  <c r="E101"/>
  <c r="G100"/>
  <c r="G99"/>
  <c r="G98"/>
  <c r="F97"/>
  <c r="E97"/>
  <c r="G95"/>
  <c r="G94"/>
  <c r="G93"/>
  <c r="G92"/>
  <c r="G91"/>
  <c r="G89"/>
  <c r="G87"/>
  <c r="G86"/>
  <c r="G85"/>
  <c r="G84"/>
  <c r="G83"/>
  <c r="G82"/>
  <c r="G81"/>
  <c r="G80"/>
  <c r="G79"/>
  <c r="G78"/>
  <c r="G77"/>
  <c r="G76"/>
  <c r="G75"/>
  <c r="F74"/>
  <c r="E74"/>
  <c r="G73"/>
  <c r="F72"/>
  <c r="E72"/>
  <c r="G71"/>
  <c r="F70"/>
  <c r="E70"/>
  <c r="G68"/>
  <c r="G66"/>
  <c r="G65"/>
  <c r="G64"/>
  <c r="G60"/>
  <c r="G59"/>
  <c r="G58"/>
  <c r="G57"/>
  <c r="F56"/>
  <c r="F55" s="1"/>
  <c r="E56"/>
  <c r="E55" s="1"/>
  <c r="G54"/>
  <c r="G53"/>
  <c r="G52"/>
  <c r="G51"/>
  <c r="G50"/>
  <c r="G49"/>
  <c r="G48"/>
  <c r="G46"/>
  <c r="G45"/>
  <c r="G44"/>
  <c r="G43"/>
  <c r="G42"/>
  <c r="G41"/>
  <c r="G40"/>
  <c r="G39"/>
  <c r="G38"/>
  <c r="G37"/>
  <c r="G36"/>
  <c r="G35"/>
  <c r="G34"/>
  <c r="G33"/>
  <c r="G32"/>
  <c r="G31"/>
  <c r="G30"/>
  <c r="F29"/>
  <c r="E29"/>
  <c r="E28" s="1"/>
  <c r="E18"/>
  <c r="F18"/>
  <c r="G17"/>
  <c r="F16"/>
  <c r="E16"/>
  <c r="G15"/>
  <c r="F14"/>
  <c r="E14"/>
  <c r="G12"/>
  <c r="F11"/>
  <c r="E11"/>
  <c r="G10"/>
  <c r="F9"/>
  <c r="E9"/>
  <c r="E124" i="33" l="1"/>
  <c r="H125"/>
  <c r="E21"/>
  <c r="H21" s="1"/>
  <c r="H22"/>
  <c r="F243" i="26"/>
  <c r="F194" s="1"/>
  <c r="E509"/>
  <c r="F558"/>
  <c r="G558" s="1"/>
  <c r="E495"/>
  <c r="E492" s="1"/>
  <c r="G283"/>
  <c r="G322"/>
  <c r="G826"/>
  <c r="F69"/>
  <c r="F8"/>
  <c r="G72"/>
  <c r="E96"/>
  <c r="G101"/>
  <c r="G148"/>
  <c r="G375"/>
  <c r="G379"/>
  <c r="G496"/>
  <c r="G504"/>
  <c r="G510"/>
  <c r="G549"/>
  <c r="G556"/>
  <c r="G581"/>
  <c r="E669"/>
  <c r="F669"/>
  <c r="G701"/>
  <c r="G764"/>
  <c r="G797"/>
  <c r="G11"/>
  <c r="G74"/>
  <c r="G227"/>
  <c r="G265"/>
  <c r="G304"/>
  <c r="G332"/>
  <c r="G371"/>
  <c r="G607"/>
  <c r="G633"/>
  <c r="G636"/>
  <c r="G649"/>
  <c r="G823"/>
  <c r="G829"/>
  <c r="G29"/>
  <c r="E13"/>
  <c r="G833"/>
  <c r="G844"/>
  <c r="G842"/>
  <c r="E822"/>
  <c r="E716" s="1"/>
  <c r="G799"/>
  <c r="G777"/>
  <c r="G741"/>
  <c r="G676"/>
  <c r="G667"/>
  <c r="G638"/>
  <c r="E635"/>
  <c r="G609"/>
  <c r="E601"/>
  <c r="G602"/>
  <c r="E558"/>
  <c r="E508" s="1"/>
  <c r="G551"/>
  <c r="G534"/>
  <c r="G501"/>
  <c r="G445"/>
  <c r="G405"/>
  <c r="G350"/>
  <c r="G190"/>
  <c r="G155"/>
  <c r="G144"/>
  <c r="G136"/>
  <c r="G107"/>
  <c r="G97"/>
  <c r="E69"/>
  <c r="G16"/>
  <c r="G14"/>
  <c r="E8"/>
  <c r="E99" i="33"/>
  <c r="H99" s="1"/>
  <c r="G18" i="26"/>
  <c r="G55"/>
  <c r="G464"/>
  <c r="G56"/>
  <c r="G70"/>
  <c r="G191"/>
  <c r="G195"/>
  <c r="G220"/>
  <c r="G244"/>
  <c r="G559"/>
  <c r="G670"/>
  <c r="G717"/>
  <c r="G9"/>
  <c r="F13"/>
  <c r="G13" s="1"/>
  <c r="F28"/>
  <c r="G28" s="1"/>
  <c r="F96"/>
  <c r="G151"/>
  <c r="F331"/>
  <c r="G378"/>
  <c r="F495"/>
  <c r="F492" s="1"/>
  <c r="F509"/>
  <c r="F601"/>
  <c r="F635"/>
  <c r="F763"/>
  <c r="G792"/>
  <c r="G822"/>
  <c r="F832"/>
  <c r="G832" s="1"/>
  <c r="F841"/>
  <c r="G841" s="1"/>
  <c r="H222" i="33"/>
  <c r="H219"/>
  <c r="H214"/>
  <c r="H213"/>
  <c r="H210"/>
  <c r="H209"/>
  <c r="H208"/>
  <c r="H207"/>
  <c r="F206"/>
  <c r="E206"/>
  <c r="E200" s="1"/>
  <c r="H205"/>
  <c r="H203"/>
  <c r="H202"/>
  <c r="F201"/>
  <c r="H194"/>
  <c r="F193"/>
  <c r="E193"/>
  <c r="H192"/>
  <c r="H191"/>
  <c r="H190"/>
  <c r="H189"/>
  <c r="F188"/>
  <c r="E188"/>
  <c r="H187"/>
  <c r="F186"/>
  <c r="E186"/>
  <c r="H184"/>
  <c r="H183"/>
  <c r="H182"/>
  <c r="H181"/>
  <c r="H180"/>
  <c r="F179"/>
  <c r="F153" s="1"/>
  <c r="E179"/>
  <c r="H178"/>
  <c r="E176"/>
  <c r="H174"/>
  <c r="H172"/>
  <c r="H170"/>
  <c r="E167"/>
  <c r="H159"/>
  <c r="H158"/>
  <c r="H157"/>
  <c r="H156"/>
  <c r="H152"/>
  <c r="H150"/>
  <c r="E149"/>
  <c r="H130"/>
  <c r="H128"/>
  <c r="H127"/>
  <c r="H126"/>
  <c r="H123"/>
  <c r="H122"/>
  <c r="H121"/>
  <c r="H120"/>
  <c r="H119"/>
  <c r="F117"/>
  <c r="E117"/>
  <c r="H106"/>
  <c r="H105"/>
  <c r="H102"/>
  <c r="H101"/>
  <c r="H97"/>
  <c r="H96"/>
  <c r="F95"/>
  <c r="F94" s="1"/>
  <c r="E95"/>
  <c r="H93"/>
  <c r="F92"/>
  <c r="E92"/>
  <c r="H91"/>
  <c r="F90"/>
  <c r="E90"/>
  <c r="H89"/>
  <c r="F88"/>
  <c r="E88"/>
  <c r="H87"/>
  <c r="F86"/>
  <c r="E86"/>
  <c r="H84"/>
  <c r="H83"/>
  <c r="F82"/>
  <c r="F73" s="1"/>
  <c r="E82"/>
  <c r="E73" s="1"/>
  <c r="H69"/>
  <c r="F67"/>
  <c r="F66" s="1"/>
  <c r="E67"/>
  <c r="E66" s="1"/>
  <c r="H63"/>
  <c r="H62"/>
  <c r="F61"/>
  <c r="E61"/>
  <c r="H59"/>
  <c r="H56"/>
  <c r="H54"/>
  <c r="F53"/>
  <c r="F52" s="1"/>
  <c r="E53"/>
  <c r="H50"/>
  <c r="E47"/>
  <c r="H46"/>
  <c r="F45"/>
  <c r="E45"/>
  <c r="H44"/>
  <c r="F43"/>
  <c r="E43"/>
  <c r="H41"/>
  <c r="H40"/>
  <c r="H39"/>
  <c r="H38"/>
  <c r="H35"/>
  <c r="H34"/>
  <c r="F33"/>
  <c r="E33"/>
  <c r="H31"/>
  <c r="H30"/>
  <c r="H29"/>
  <c r="H27"/>
  <c r="H26"/>
  <c r="F25"/>
  <c r="F24" s="1"/>
  <c r="E24"/>
  <c r="H20"/>
  <c r="F19"/>
  <c r="E19"/>
  <c r="F18"/>
  <c r="E18"/>
  <c r="F16"/>
  <c r="E16"/>
  <c r="H16" s="1"/>
  <c r="F14"/>
  <c r="E14"/>
  <c r="H13"/>
  <c r="F12"/>
  <c r="E12"/>
  <c r="F32" l="1"/>
  <c r="H33"/>
  <c r="E52"/>
  <c r="F185"/>
  <c r="G69" i="26"/>
  <c r="G635"/>
  <c r="G96"/>
  <c r="G8"/>
  <c r="G669"/>
  <c r="G601"/>
  <c r="E219"/>
  <c r="E194" s="1"/>
  <c r="E852" s="1"/>
  <c r="G243"/>
  <c r="E185" i="33"/>
  <c r="E153"/>
  <c r="E94"/>
  <c r="H94" s="1"/>
  <c r="F11"/>
  <c r="E85"/>
  <c r="H88"/>
  <c r="E11"/>
  <c r="H92"/>
  <c r="H124"/>
  <c r="H149"/>
  <c r="F148"/>
  <c r="H154"/>
  <c r="H171"/>
  <c r="H179"/>
  <c r="H206"/>
  <c r="H218"/>
  <c r="G763" i="26"/>
  <c r="F716"/>
  <c r="G716" s="1"/>
  <c r="G495"/>
  <c r="G492"/>
  <c r="G331"/>
  <c r="G509"/>
  <c r="F508"/>
  <c r="G508" s="1"/>
  <c r="H19" i="33"/>
  <c r="E42"/>
  <c r="H45"/>
  <c r="H53"/>
  <c r="H61"/>
  <c r="H67"/>
  <c r="H82"/>
  <c r="H188"/>
  <c r="H195"/>
  <c r="H12"/>
  <c r="H18"/>
  <c r="H43"/>
  <c r="H47"/>
  <c r="H55"/>
  <c r="H66"/>
  <c r="H73"/>
  <c r="H86"/>
  <c r="H90"/>
  <c r="H95"/>
  <c r="H117"/>
  <c r="H151"/>
  <c r="H167"/>
  <c r="H176"/>
  <c r="H186"/>
  <c r="H193"/>
  <c r="H201"/>
  <c r="H211"/>
  <c r="H220"/>
  <c r="H24"/>
  <c r="H25"/>
  <c r="E32"/>
  <c r="F42"/>
  <c r="H42" s="1"/>
  <c r="H52"/>
  <c r="F85"/>
  <c r="H85" s="1"/>
  <c r="E148"/>
  <c r="H153"/>
  <c r="F200"/>
  <c r="G16" i="29"/>
  <c r="G15"/>
  <c r="F227" i="33" l="1"/>
  <c r="H11"/>
  <c r="H32"/>
  <c r="E227"/>
  <c r="F852" i="26"/>
  <c r="G219"/>
  <c r="H185" i="33"/>
  <c r="H200"/>
  <c r="H148"/>
  <c r="G14" i="29"/>
  <c r="G852" i="26" l="1"/>
  <c r="G194"/>
  <c r="H147" i="9"/>
  <c r="H146"/>
  <c r="F145"/>
  <c r="H144"/>
  <c r="H141"/>
  <c r="H139"/>
  <c r="H138"/>
  <c r="H137"/>
  <c r="H136"/>
  <c r="F135"/>
  <c r="H134"/>
  <c r="H132"/>
  <c r="H131"/>
  <c r="F130"/>
  <c r="F129" s="1"/>
  <c r="H127"/>
  <c r="H126"/>
  <c r="H125"/>
  <c r="H123"/>
  <c r="H122"/>
  <c r="H121"/>
  <c r="H120"/>
  <c r="H117"/>
  <c r="H116"/>
  <c r="H115"/>
  <c r="H114"/>
  <c r="H113"/>
  <c r="F112"/>
  <c r="H109"/>
  <c r="E106"/>
  <c r="H105"/>
  <c r="H104"/>
  <c r="H103"/>
  <c r="H102"/>
  <c r="H101"/>
  <c r="H79"/>
  <c r="H77"/>
  <c r="H76"/>
  <c r="H75"/>
  <c r="H70"/>
  <c r="H67"/>
  <c r="H66"/>
  <c r="F65"/>
  <c r="E65"/>
  <c r="E64" s="1"/>
  <c r="H63"/>
  <c r="F62"/>
  <c r="H61"/>
  <c r="F60"/>
  <c r="H59"/>
  <c r="F58"/>
  <c r="H57"/>
  <c r="F56"/>
  <c r="H54"/>
  <c r="H53"/>
  <c r="F52"/>
  <c r="E52"/>
  <c r="E45" s="1"/>
  <c r="H43"/>
  <c r="H40"/>
  <c r="F38"/>
  <c r="E38"/>
  <c r="H37"/>
  <c r="H36"/>
  <c r="H33"/>
  <c r="H32"/>
  <c r="F31"/>
  <c r="E30"/>
  <c r="H29"/>
  <c r="H28"/>
  <c r="H27"/>
  <c r="H25"/>
  <c r="H24"/>
  <c r="F23"/>
  <c r="E22"/>
  <c r="H18"/>
  <c r="F17"/>
  <c r="E17"/>
  <c r="F16"/>
  <c r="E16"/>
  <c r="F14"/>
  <c r="F13" s="1"/>
  <c r="E14"/>
  <c r="F19" i="8"/>
  <c r="E19"/>
  <c r="G55"/>
  <c r="G53"/>
  <c r="G49"/>
  <c r="G47"/>
  <c r="G44"/>
  <c r="G40"/>
  <c r="G36"/>
  <c r="G34"/>
  <c r="G30"/>
  <c r="G26"/>
  <c r="G24"/>
  <c r="G21"/>
  <c r="G20"/>
  <c r="G15"/>
  <c r="E46"/>
  <c r="F46"/>
  <c r="F27"/>
  <c r="E27"/>
  <c r="E16"/>
  <c r="E13" s="1"/>
  <c r="F16"/>
  <c r="F13" s="1"/>
  <c r="L68" i="4"/>
  <c r="L67"/>
  <c r="K66"/>
  <c r="J66"/>
  <c r="I66"/>
  <c r="H66"/>
  <c r="G66"/>
  <c r="F66"/>
  <c r="E66"/>
  <c r="L63"/>
  <c r="F62"/>
  <c r="E62"/>
  <c r="L61"/>
  <c r="L60"/>
  <c r="L59"/>
  <c r="L58"/>
  <c r="L57"/>
  <c r="L56"/>
  <c r="L55"/>
  <c r="E54"/>
  <c r="D54"/>
  <c r="L53"/>
  <c r="L52"/>
  <c r="L51"/>
  <c r="K50"/>
  <c r="J50"/>
  <c r="I50"/>
  <c r="H50"/>
  <c r="F50"/>
  <c r="E50"/>
  <c r="L48"/>
  <c r="L47"/>
  <c r="L46"/>
  <c r="L45"/>
  <c r="H44"/>
  <c r="K44"/>
  <c r="J44"/>
  <c r="I44"/>
  <c r="L40"/>
  <c r="L38"/>
  <c r="L37"/>
  <c r="L36"/>
  <c r="L35"/>
  <c r="L34"/>
  <c r="L32"/>
  <c r="I31"/>
  <c r="E31"/>
  <c r="D31"/>
  <c r="L26"/>
  <c r="L25"/>
  <c r="L24"/>
  <c r="L23"/>
  <c r="K22"/>
  <c r="J22"/>
  <c r="J70" s="1"/>
  <c r="I22"/>
  <c r="H22"/>
  <c r="G22"/>
  <c r="E22"/>
  <c r="D22"/>
  <c r="D20"/>
  <c r="L19"/>
  <c r="E18"/>
  <c r="D18"/>
  <c r="L17"/>
  <c r="E16"/>
  <c r="D16"/>
  <c r="L15"/>
  <c r="L14"/>
  <c r="F13"/>
  <c r="E13"/>
  <c r="D13"/>
  <c r="L12"/>
  <c r="F11"/>
  <c r="E11"/>
  <c r="D11"/>
  <c r="D15" i="13"/>
  <c r="E15"/>
  <c r="E13" i="6"/>
  <c r="E15" s="1"/>
  <c r="E32" i="1"/>
  <c r="E29"/>
  <c r="E27"/>
  <c r="E25"/>
  <c r="E22"/>
  <c r="E17"/>
  <c r="E15"/>
  <c r="E13"/>
  <c r="L89" i="5"/>
  <c r="L88"/>
  <c r="L84"/>
  <c r="L82"/>
  <c r="L81"/>
  <c r="L79"/>
  <c r="L78"/>
  <c r="L77"/>
  <c r="L76"/>
  <c r="L75"/>
  <c r="L74"/>
  <c r="L73"/>
  <c r="L71"/>
  <c r="L70"/>
  <c r="L69"/>
  <c r="L68"/>
  <c r="L67"/>
  <c r="L65"/>
  <c r="L64"/>
  <c r="L63"/>
  <c r="L62"/>
  <c r="L61"/>
  <c r="L60"/>
  <c r="L59"/>
  <c r="L57"/>
  <c r="L56"/>
  <c r="L52"/>
  <c r="L50"/>
  <c r="L49"/>
  <c r="L48"/>
  <c r="L47"/>
  <c r="L46"/>
  <c r="L44"/>
  <c r="L40"/>
  <c r="L39"/>
  <c r="L36"/>
  <c r="L35"/>
  <c r="L34"/>
  <c r="L33"/>
  <c r="L32"/>
  <c r="L31"/>
  <c r="L29"/>
  <c r="L28"/>
  <c r="L27"/>
  <c r="L26"/>
  <c r="L24"/>
  <c r="L22"/>
  <c r="L20"/>
  <c r="L18"/>
  <c r="L17"/>
  <c r="L15"/>
  <c r="L14"/>
  <c r="E70" i="4" l="1"/>
  <c r="F70"/>
  <c r="H70"/>
  <c r="I70"/>
  <c r="K70"/>
  <c r="E13" i="9"/>
  <c r="H14"/>
  <c r="G19" i="8"/>
  <c r="G46"/>
  <c r="G27"/>
  <c r="G44" i="4"/>
  <c r="G50"/>
  <c r="L62"/>
  <c r="E99" i="9"/>
  <c r="H118"/>
  <c r="F99"/>
  <c r="H106"/>
  <c r="H119"/>
  <c r="H124"/>
  <c r="H135"/>
  <c r="H17"/>
  <c r="H45"/>
  <c r="H140"/>
  <c r="F55"/>
  <c r="F152" s="1"/>
  <c r="H60"/>
  <c r="H65"/>
  <c r="H38"/>
  <c r="H16"/>
  <c r="H23"/>
  <c r="H39"/>
  <c r="H52"/>
  <c r="H58"/>
  <c r="H62"/>
  <c r="H78"/>
  <c r="H112"/>
  <c r="H145"/>
  <c r="H129"/>
  <c r="H56"/>
  <c r="H100"/>
  <c r="H130"/>
  <c r="F22"/>
  <c r="H22" s="1"/>
  <c r="F30"/>
  <c r="L13" i="4"/>
  <c r="L16"/>
  <c r="L18"/>
  <c r="L21"/>
  <c r="L22"/>
  <c r="F22"/>
  <c r="L31"/>
  <c r="L33"/>
  <c r="E20"/>
  <c r="L20" s="1"/>
  <c r="F20"/>
  <c r="L50"/>
  <c r="L44"/>
  <c r="L54"/>
  <c r="L66"/>
  <c r="F31"/>
  <c r="L11"/>
  <c r="H13" i="9" l="1"/>
  <c r="E152"/>
  <c r="H152" s="1"/>
  <c r="H99"/>
  <c r="G70" i="4"/>
  <c r="H55" i="9"/>
  <c r="L70" i="4"/>
  <c r="E83" i="5"/>
  <c r="E43"/>
  <c r="E30"/>
  <c r="E25"/>
  <c r="E23"/>
  <c r="E21"/>
  <c r="E19"/>
  <c r="E16"/>
  <c r="E13"/>
  <c r="K87"/>
  <c r="K91" s="1"/>
  <c r="I87"/>
  <c r="I91" s="1"/>
  <c r="F87"/>
  <c r="E87"/>
  <c r="D66"/>
  <c r="D19"/>
  <c r="L19" l="1"/>
  <c r="L87"/>
  <c r="L83"/>
  <c r="L66"/>
  <c r="L54"/>
  <c r="K23" i="23"/>
  <c r="E38" i="22"/>
  <c r="E10"/>
  <c r="E73"/>
  <c r="D73"/>
  <c r="F70"/>
  <c r="F67"/>
  <c r="F66"/>
  <c r="F65"/>
  <c r="F62"/>
  <c r="F61"/>
  <c r="F57"/>
  <c r="F54"/>
  <c r="F53"/>
  <c r="F51"/>
  <c r="F50" s="1"/>
  <c r="F45"/>
  <c r="D42"/>
  <c r="F41"/>
  <c r="F40"/>
  <c r="F39"/>
  <c r="F38"/>
  <c r="F37"/>
  <c r="F36"/>
  <c r="F35"/>
  <c r="F28"/>
  <c r="F26"/>
  <c r="F22"/>
  <c r="F21"/>
  <c r="F18" s="1"/>
  <c r="F16"/>
  <c r="F13" s="1"/>
  <c r="F11"/>
  <c r="F10"/>
  <c r="F9"/>
  <c r="F38" i="8"/>
  <c r="F43"/>
  <c r="F52"/>
  <c r="F54"/>
  <c r="F18"/>
  <c r="F35"/>
  <c r="E43"/>
  <c r="E42" s="1"/>
  <c r="E52"/>
  <c r="E18"/>
  <c r="E23"/>
  <c r="E25"/>
  <c r="E33"/>
  <c r="E35"/>
  <c r="E38"/>
  <c r="E37" s="1"/>
  <c r="F14"/>
  <c r="E14"/>
  <c r="G13"/>
  <c r="G18" i="7"/>
  <c r="F17"/>
  <c r="F16" s="1"/>
  <c r="F19" s="1"/>
  <c r="E17"/>
  <c r="E16" s="1"/>
  <c r="E19" s="1"/>
  <c r="G25" i="5"/>
  <c r="G91" s="1"/>
  <c r="G21"/>
  <c r="G30" i="1"/>
  <c r="G29" s="1"/>
  <c r="G33"/>
  <c r="G32" s="1"/>
  <c r="F25" i="5"/>
  <c r="F91" s="1"/>
  <c r="F23"/>
  <c r="F16"/>
  <c r="F80"/>
  <c r="D13"/>
  <c r="D16"/>
  <c r="L16" s="1"/>
  <c r="D21"/>
  <c r="L21" s="1"/>
  <c r="D23"/>
  <c r="L23" s="1"/>
  <c r="D25"/>
  <c r="L25" s="1"/>
  <c r="D30"/>
  <c r="L30" s="1"/>
  <c r="L37"/>
  <c r="D43"/>
  <c r="L43" s="1"/>
  <c r="L45"/>
  <c r="D58"/>
  <c r="L58" s="1"/>
  <c r="D72"/>
  <c r="L72" s="1"/>
  <c r="D80"/>
  <c r="L80" s="1"/>
  <c r="K25"/>
  <c r="F14" i="1"/>
  <c r="F13" s="1"/>
  <c r="F33"/>
  <c r="L33" s="1"/>
  <c r="F15"/>
  <c r="D29"/>
  <c r="D13"/>
  <c r="D15"/>
  <c r="D17"/>
  <c r="D22"/>
  <c r="D25"/>
  <c r="D27"/>
  <c r="D32"/>
  <c r="K17"/>
  <c r="K22"/>
  <c r="K25"/>
  <c r="K29"/>
  <c r="J22"/>
  <c r="I22"/>
  <c r="H22"/>
  <c r="H35" s="1"/>
  <c r="H25"/>
  <c r="H27"/>
  <c r="H29"/>
  <c r="G15"/>
  <c r="G27"/>
  <c r="L31"/>
  <c r="L24"/>
  <c r="L21"/>
  <c r="L19"/>
  <c r="L18"/>
  <c r="L16"/>
  <c r="F13" i="6"/>
  <c r="F15" s="1"/>
  <c r="D13"/>
  <c r="D15" s="1"/>
  <c r="L14"/>
  <c r="G16" i="13"/>
  <c r="G15" s="1"/>
  <c r="G19" s="1"/>
  <c r="L14"/>
  <c r="L13"/>
  <c r="G18" i="8" l="1"/>
  <c r="F60" i="22"/>
  <c r="F64"/>
  <c r="E32" i="8"/>
  <c r="D35" i="1"/>
  <c r="L91" i="5"/>
  <c r="L13"/>
  <c r="G17" i="7"/>
  <c r="G54" i="8"/>
  <c r="G52"/>
  <c r="G43"/>
  <c r="F37"/>
  <c r="G37" s="1"/>
  <c r="G38"/>
  <c r="F32"/>
  <c r="G35"/>
  <c r="G33"/>
  <c r="G25"/>
  <c r="G23"/>
  <c r="G14"/>
  <c r="F22"/>
  <c r="E22"/>
  <c r="L15" i="6"/>
  <c r="L13" i="1"/>
  <c r="L15"/>
  <c r="G20"/>
  <c r="G17" s="1"/>
  <c r="F28"/>
  <c r="F27" s="1"/>
  <c r="L27" s="1"/>
  <c r="F16" i="13"/>
  <c r="F34" i="1"/>
  <c r="L34" s="1"/>
  <c r="F30"/>
  <c r="F29" s="1"/>
  <c r="F25"/>
  <c r="L25" s="1"/>
  <c r="G26"/>
  <c r="G25" s="1"/>
  <c r="F21" i="5"/>
  <c r="F13"/>
  <c r="G22" i="1"/>
  <c r="G35" s="1"/>
  <c r="L14"/>
  <c r="F51" i="8"/>
  <c r="F45"/>
  <c r="E51"/>
  <c r="E45"/>
  <c r="G16" i="7"/>
  <c r="F42" i="8"/>
  <c r="G42" s="1"/>
  <c r="L13" i="6"/>
  <c r="G32" i="8" l="1"/>
  <c r="L30" i="1"/>
  <c r="L28"/>
  <c r="G45" i="8"/>
  <c r="G51"/>
  <c r="G22"/>
  <c r="L16" i="13"/>
  <c r="F15"/>
  <c r="L15" s="1"/>
  <c r="L19"/>
  <c r="L29" i="1"/>
  <c r="F32"/>
  <c r="L32" s="1"/>
  <c r="L26"/>
  <c r="E56" i="8"/>
  <c r="F56"/>
  <c r="G19" i="7"/>
  <c r="G56" i="8" l="1"/>
  <c r="F22" i="1"/>
  <c r="L23"/>
  <c r="L22" l="1"/>
  <c r="L20"/>
  <c r="F17"/>
  <c r="L35" s="1"/>
  <c r="L17"/>
</calcChain>
</file>

<file path=xl/sharedStrings.xml><?xml version="1.0" encoding="utf-8"?>
<sst xmlns="http://schemas.openxmlformats.org/spreadsheetml/2006/main" count="3350" uniqueCount="481">
  <si>
    <t>Dział</t>
  </si>
  <si>
    <t>Nazwa podziałki klasyfikacji budżetowej</t>
  </si>
  <si>
    <t>Załącznik Nr 1</t>
  </si>
  <si>
    <t>Prognozowane dochody budżetu</t>
  </si>
  <si>
    <t>Powiatu Białogardzkiego</t>
  </si>
  <si>
    <t>(ogółem)</t>
  </si>
  <si>
    <t>związane z realizacją zadań własnych</t>
  </si>
  <si>
    <t>Według działów klasyfikacji i ważniejszych źródeł:</t>
  </si>
  <si>
    <t>Załącznik Nr 3</t>
  </si>
  <si>
    <t>związane z realizacją zadań z zakresu administracji rządowej oraz innych zadań zleconych ustawami</t>
  </si>
  <si>
    <t>Załącznik Nr 4</t>
  </si>
  <si>
    <t>związane z realizacją zadań z zakresu administracji rządowej na podstawie porozumień z organami tej administracji</t>
  </si>
  <si>
    <t>Wydatki budżetu</t>
  </si>
  <si>
    <t>Rozdział</t>
  </si>
  <si>
    <t>Wydatki bieżące</t>
  </si>
  <si>
    <t>w tym</t>
  </si>
  <si>
    <t>Wydatki na obsługę długu</t>
  </si>
  <si>
    <t>Nazwa programu inwestycyjnego i zadania finansowanych z budżetu</t>
  </si>
  <si>
    <t>Jednostka organizacyjna realizująca program lub koordynująca wykonywanie programu</t>
  </si>
  <si>
    <t>Okres realizacji</t>
  </si>
  <si>
    <t>Rok rozpoczęcia</t>
  </si>
  <si>
    <t>Rok zakończenia</t>
  </si>
  <si>
    <t>Limity wydatków budżetowych</t>
  </si>
  <si>
    <t>na wieloletnie programy inwestycyjne</t>
  </si>
  <si>
    <t>Przychody</t>
  </si>
  <si>
    <t>Załącznik Nr 10</t>
  </si>
  <si>
    <t>Załącznik Nr 11</t>
  </si>
  <si>
    <t xml:space="preserve"> </t>
  </si>
  <si>
    <t>010</t>
  </si>
  <si>
    <t>020</t>
  </si>
  <si>
    <t>Podatek dochodowy od osób fizycznych</t>
  </si>
  <si>
    <t>0010</t>
  </si>
  <si>
    <t>Subwencje ogólne z budżetu państwa</t>
  </si>
  <si>
    <t>0420</t>
  </si>
  <si>
    <t>Wpływy z opłaty komunikacyjnej</t>
  </si>
  <si>
    <t>0470</t>
  </si>
  <si>
    <t>0750</t>
  </si>
  <si>
    <t>0770</t>
  </si>
  <si>
    <t>Wpływy z opłat za zarząd, użytkowanie i użytkowanie wieczyste nieruchomości</t>
  </si>
  <si>
    <t>Dotacje celowe otrzymane z budżetu państwa na zadania bieżące realizowane przez powiat na podstawie porozumień z organami administracji rządowej</t>
  </si>
  <si>
    <t>Dotacje celowe otrzymane z budżetu państwa na realizację bieżących zadań własnych powiatu</t>
  </si>
  <si>
    <t>Razem</t>
  </si>
  <si>
    <t>Rolnictwo i łowiectwo</t>
  </si>
  <si>
    <t>Leśnictwo</t>
  </si>
  <si>
    <t>Gospodarka mieszkaniowa</t>
  </si>
  <si>
    <t>Działalność usługowa</t>
  </si>
  <si>
    <t>Administracja publiczna</t>
  </si>
  <si>
    <t>Bezpieczeństwo publiczne i ochrona przeciwpożarowa</t>
  </si>
  <si>
    <t>Różne rozliczenia</t>
  </si>
  <si>
    <t>Ochrona zdrowia</t>
  </si>
  <si>
    <t>Pomoc społeczna</t>
  </si>
  <si>
    <t>Pozostałe zadania w zakresie polityki społecznej</t>
  </si>
  <si>
    <t>0690</t>
  </si>
  <si>
    <t>Wpływy z różnych opłat</t>
  </si>
  <si>
    <t>Drogi publiczne powiatowe</t>
  </si>
  <si>
    <t>Komendy powiatowe Państwowej Straży Pożarnej</t>
  </si>
  <si>
    <t>Szkoły podstawowe specjalne</t>
  </si>
  <si>
    <t>Licea profilowane</t>
  </si>
  <si>
    <t>Szkoły zawodowe</t>
  </si>
  <si>
    <t>Poradnie psychologiczno-pedagogiczne</t>
  </si>
  <si>
    <t>Placówki wychowania pozaszkolnego</t>
  </si>
  <si>
    <t>Internaty i bursy szkolne</t>
  </si>
  <si>
    <t>Licea ogólnokształcące</t>
  </si>
  <si>
    <t>01005</t>
  </si>
  <si>
    <t>0920</t>
  </si>
  <si>
    <t>Obrona narodowa</t>
  </si>
  <si>
    <t>Pozostałe wydatki obronne</t>
  </si>
  <si>
    <t>0020</t>
  </si>
  <si>
    <t>Podatek dochodowy od osób prawnych</t>
  </si>
  <si>
    <t>Oświata i wychowanie</t>
  </si>
  <si>
    <t>0830</t>
  </si>
  <si>
    <t>0970</t>
  </si>
  <si>
    <t>Wpływy z usług</t>
  </si>
  <si>
    <t>Wpływy z różnych dochodów</t>
  </si>
  <si>
    <t>Pozostałe odsetki</t>
  </si>
  <si>
    <t>Wpłaty z tytułu odpłatnego nabycia prawa własności  oraz prawa użytkowania wieczystego nieruchomości</t>
  </si>
  <si>
    <t>Dochody od osób prawnych, od osób fizycznych i od innych jednostek nieposiadających osobowości prawnej oraz wydatki związane z ich poborem</t>
  </si>
  <si>
    <t>Rozdz.</t>
  </si>
  <si>
    <t>§</t>
  </si>
  <si>
    <t>Prace geodezyjno-urządzeniowe na potrzeby rolnictwa</t>
  </si>
  <si>
    <t>Dot.cel.otrzymane z budżetu państwa na zad. bieżące z zakresu adm. rządowej oraz inne zad. zlecone ustawami realiz.przez powiat</t>
  </si>
  <si>
    <t>02001</t>
  </si>
  <si>
    <t>Gospodarka leśna</t>
  </si>
  <si>
    <t>Środki otrzymane od pozost. jednostek zalicz. do sektora fin. publ. na realizację zadań bieżących jedn. zaliczanych do sektora finansów publ.</t>
  </si>
  <si>
    <t>Transport i łączność</t>
  </si>
  <si>
    <t>Gospodarka gruntami i nieruchomościami</t>
  </si>
  <si>
    <t>Prace geodezyjne i kartograficzne</t>
  </si>
  <si>
    <t>Opracowania geodezyjne i kartograficzne</t>
  </si>
  <si>
    <t>Nadzór budowlany</t>
  </si>
  <si>
    <t>Pozostała działalność</t>
  </si>
  <si>
    <t>Dotacje otrzymane z funduszy celowych na realizację zadań bieżących jednostek sektora finansów publicznych</t>
  </si>
  <si>
    <t>Urzędy wojewódzkie</t>
  </si>
  <si>
    <t>Starostwa powiatowe</t>
  </si>
  <si>
    <t>Komisje poborowe</t>
  </si>
  <si>
    <t>Obrona cywilna</t>
  </si>
  <si>
    <t>Udziały powiatów w podatkach stanowiących dochód budżetu państwa</t>
  </si>
  <si>
    <t>Część oświatowa subwencji ogólnej dla jednostek samorządu terytorialnego</t>
  </si>
  <si>
    <t>Część wyrównawcza subwencji ogólnej dla powiatów</t>
  </si>
  <si>
    <t>Różne rozliczenia finansowe</t>
  </si>
  <si>
    <t>Część równoważąca subwencji ogólnej dla powiatów</t>
  </si>
  <si>
    <t>Dokształcanie i doskonalenie nauczycieli</t>
  </si>
  <si>
    <t>Szpitale ogólne</t>
  </si>
  <si>
    <t>Przeciwdziałanie alkoholizmowi</t>
  </si>
  <si>
    <t>Składki na ubezpieczenie zdrowotne oraz świadczenia dla osób nieobjętych obowiązkiem ubezpieczenia zdrowotnego</t>
  </si>
  <si>
    <t>Placówki opiekuńczo-wychowawcze</t>
  </si>
  <si>
    <t>Domy pomocy społecznej</t>
  </si>
  <si>
    <t>Ośrodki wsparcia</t>
  </si>
  <si>
    <t>Zasiłki rodzinne, pielęgnacyjne i wychowawcze</t>
  </si>
  <si>
    <t>Powiatowe centra pomocy rodzinie</t>
  </si>
  <si>
    <t>Zespoły do spraw orzekania o niepełnospr.</t>
  </si>
  <si>
    <t>Powiatowe urzędy pracy</t>
  </si>
  <si>
    <t>Edukacyjna opieka wychowawcza</t>
  </si>
  <si>
    <t>Poradnie psychologiczno-pedagogiczne, w tym poradnie specjalistyczne</t>
  </si>
  <si>
    <t>Pomoc materialna dla uczniów</t>
  </si>
  <si>
    <t>Kultura fizyczna i sport</t>
  </si>
  <si>
    <t>Zadania w zakresie kultury fizycznej i sportu</t>
  </si>
  <si>
    <t>0960</t>
  </si>
  <si>
    <t>Załącznik Nr 5</t>
  </si>
  <si>
    <t>02002</t>
  </si>
  <si>
    <t>Nadzór nad gospodarką leśną</t>
  </si>
  <si>
    <t>Działalnośc usługowa</t>
  </si>
  <si>
    <t>Prace geodezyjne i urządzeniowe</t>
  </si>
  <si>
    <t>Rady powiatów</t>
  </si>
  <si>
    <t>Bezpieczeństwo publ. i ochr.przeciwpoż.</t>
  </si>
  <si>
    <t>Komendy wojewódzkie policji</t>
  </si>
  <si>
    <t>Komendy powiat. Państwowej Straży Pożarnej</t>
  </si>
  <si>
    <t>Obsługa długu publicznego</t>
  </si>
  <si>
    <t>Obsługa papierów wartościowychj, kredytów i pożyczek j.s.t</t>
  </si>
  <si>
    <t>Gimnazja specjalne</t>
  </si>
  <si>
    <t>Szkoły zawodowe specjalne</t>
  </si>
  <si>
    <t>Rodziny zastępcze</t>
  </si>
  <si>
    <t>Świadczenia rodzinne oraz składki na ubezpieczenie emerytalne i rentowe z ubezpieczenia społecznego</t>
  </si>
  <si>
    <t>Pozost. zad.w zakresie polityki społecznej</t>
  </si>
  <si>
    <t>Zespoły ds.orzekania o niepełnospr.</t>
  </si>
  <si>
    <t>Kultura i ochrona dziedzictwa narodowego</t>
  </si>
  <si>
    <t>Pozostałe zadania w zakresie kultury</t>
  </si>
  <si>
    <t>Młodzieżowe osrodki wychowawcze</t>
  </si>
  <si>
    <t>01008</t>
  </si>
  <si>
    <t>Melioracje wodne</t>
  </si>
  <si>
    <t>Pomoc materialna dla studentów</t>
  </si>
  <si>
    <t>RAZEM</t>
  </si>
  <si>
    <t>% wykonania do planu</t>
  </si>
  <si>
    <t>Pomoc dla repatriantów</t>
  </si>
  <si>
    <t>Kolonie i obozy oraz inne formy wypoczynku dzieci i młodzieży szkolnej, a także szkol.młodzieży</t>
  </si>
  <si>
    <t>Wykonanie</t>
  </si>
  <si>
    <t>% wykonania</t>
  </si>
  <si>
    <t>0570</t>
  </si>
  <si>
    <t>Młodzieżowe ośrodki wychowawcze</t>
  </si>
  <si>
    <t>Dochody jednostek samorządu terytorialnego związane z realizacją zadań z zakr.admin. rzadowej oraz innych zadań zleconych ustawami</t>
  </si>
  <si>
    <t>Dochody z najmu i dierżawy składników majątkowych Skarbu Państwa, jednostek samorz.teryt. lub innych jednostek zaliczanych do s. f.p. oraz innych umów o podobnym charakterze</t>
  </si>
  <si>
    <t>Dotacje celowe o trzymane z gminy na zadania bieżące realizaowane na podstawie porozumień (umów) między jedn.samorz.terytor.</t>
  </si>
  <si>
    <t>Wpływy ze zwrotów dotacji wykorzystanych niezgodnie z przeznaczeniem lub pobranych w nadmiernej wysokości</t>
  </si>
  <si>
    <t>Dotacje celowe otrzymane z powiatu na zadania bieżące realizowane  na podstawie porozumień (umów) między jedn. samorz. teryt.</t>
  </si>
  <si>
    <t>związane z realizacją zadań wspólnych realizowanych w drodze umów lub porozumień z jednostkami samorządu terytorialnego</t>
  </si>
  <si>
    <t>Plan</t>
  </si>
  <si>
    <t>%</t>
  </si>
  <si>
    <t>Dotacje otrzymane z funduszy celowych na realizację zadań bieżących dla jednostek sektora finansów publicznych</t>
  </si>
  <si>
    <t>Gospodarka komunalna i ochrona środowiska</t>
  </si>
  <si>
    <t>700</t>
  </si>
  <si>
    <t>710</t>
  </si>
  <si>
    <t>750</t>
  </si>
  <si>
    <t>Promocja jednostek samorządu terytorialnego</t>
  </si>
  <si>
    <t>Wydatki Powiatu Białogardzkiego</t>
  </si>
  <si>
    <t>Powiatowe Centrum Pomocy Rodzinie</t>
  </si>
  <si>
    <t>Powiatowy Urząd Pracy</t>
  </si>
  <si>
    <t xml:space="preserve">         w zł</t>
  </si>
  <si>
    <t xml:space="preserve">           w zł</t>
  </si>
  <si>
    <t xml:space="preserve">              w zł</t>
  </si>
  <si>
    <t>Obsługa papierów wartościowych, kredytów i pożyczek j.s.t</t>
  </si>
  <si>
    <t xml:space="preserve">            w zł</t>
  </si>
  <si>
    <t xml:space="preserve">                      w zł</t>
  </si>
  <si>
    <t>na programy i projekty realizowane ze środków przedakcesyjnych, funduszy strukturalnych, Funduszu Spójności</t>
  </si>
  <si>
    <t xml:space="preserve">        w zł</t>
  </si>
  <si>
    <t>0680</t>
  </si>
  <si>
    <t xml:space="preserve"> z tego: </t>
  </si>
  <si>
    <t>Wydatki majątkowe</t>
  </si>
  <si>
    <t xml:space="preserve"> z tego :</t>
  </si>
  <si>
    <t>Nazwa programu  i zadania finansowanych z budżetu</t>
  </si>
  <si>
    <t xml:space="preserve">Plan </t>
  </si>
  <si>
    <t xml:space="preserve">Wykonanie </t>
  </si>
  <si>
    <t>Przetwórstwo przemysłowe</t>
  </si>
  <si>
    <t>Rozwój przedsiebiorczości</t>
  </si>
  <si>
    <t>Ośrodki rewalidacyjno-wychowawcze</t>
  </si>
  <si>
    <t>Obiekty sportowe</t>
  </si>
  <si>
    <t>Rehabilitacja zawodowa i społ. osób niepełnosprawnych</t>
  </si>
  <si>
    <t>01095</t>
  </si>
  <si>
    <t xml:space="preserve">Dotacje celowe otrzymane z budżetu państwa na realizację bieżących zadań własnych powiatu </t>
  </si>
  <si>
    <t>Rehabilitacja zawodowa i społeczna osób niepełnosprawnych</t>
  </si>
  <si>
    <t>Otrzymane spadki, zapisy i darowizny w postaci pieniężnej</t>
  </si>
  <si>
    <t>Wpływy od rodziców z tytułu odpłatności za utrzymanie dzieci (wychowanków) w placówkach opiekuńczo-wychowawczych</t>
  </si>
  <si>
    <t>Załącznik Nr 2</t>
  </si>
  <si>
    <t>Treść</t>
  </si>
  <si>
    <t>Plan po zmianach</t>
  </si>
  <si>
    <t>razem</t>
  </si>
  <si>
    <t>Grzywny, mandaty i inne kary pienieżne od osób fizycznych</t>
  </si>
  <si>
    <t xml:space="preserve">zwiazane z realizacją zadań własnych </t>
  </si>
  <si>
    <t>Dochody budżetu</t>
  </si>
  <si>
    <t>Dotacje celowe otrzymane z gminy na zadania bieżące realizowane na podstawie porozumień (umów) między jednostkami sam.teryt.</t>
  </si>
  <si>
    <t>Dotacje celowe otrzymane z powiatu na zadania bieżące realizowane  na podstawie porozumień (umów) między jednostkami samorządu terytorialnego</t>
  </si>
  <si>
    <t xml:space="preserve">związane z realizacją zadań realizowanych w drodze umów lub porozumień z jednostkami samorządu terytorialnego </t>
  </si>
  <si>
    <t>Nazwa instytucji</t>
  </si>
  <si>
    <t>Ogółem</t>
  </si>
  <si>
    <t>Kwota dotacji</t>
  </si>
  <si>
    <t>Prywatne Studium SCHOLAR</t>
  </si>
  <si>
    <t>Prywatne Liceum Profilowane SCHOLAR (dla młodzieży)</t>
  </si>
  <si>
    <t>Prywatne Policealne Studium Zawodowe</t>
  </si>
  <si>
    <t>w zł</t>
  </si>
  <si>
    <t>Załącznik Nr 6</t>
  </si>
  <si>
    <t>Załącznik Nr 12</t>
  </si>
  <si>
    <t>Dochody z najmu i dzierżawy składników majątkowych Skarbu Państwa, jednostek samorz.teryt. lub innych jednostek zaliczanych do s. f.p. oraz innych umów o podobnym charakterze</t>
  </si>
  <si>
    <t>Załącznik Nr 17</t>
  </si>
  <si>
    <t>WYKONANIE WYDATKÓW POWIATU BIAŁOGARDZKIEGO</t>
  </si>
  <si>
    <t>po zmianach</t>
  </si>
  <si>
    <t>wydatków</t>
  </si>
  <si>
    <t>wykonania</t>
  </si>
  <si>
    <t>6</t>
  </si>
  <si>
    <t>Zakup usług pozostałych</t>
  </si>
  <si>
    <t>Koszty postepowania sądowego i prokuratorskiego</t>
  </si>
  <si>
    <t>Różne wydatki na rzecz osób fizycznych</t>
  </si>
  <si>
    <t>Rozwój przedsiębiorczości</t>
  </si>
  <si>
    <t>Rezerwy</t>
  </si>
  <si>
    <t>Wydatki osobowe niezaliczone do wynagrodzeń</t>
  </si>
  <si>
    <t>Wynagrodzenia osobowe pracowników</t>
  </si>
  <si>
    <t>Dodatkowe wynagrodzenie roczne</t>
  </si>
  <si>
    <t>Składki na ubezpieczenia społeczne</t>
  </si>
  <si>
    <t>Składki Na Fundusz Pracy</t>
  </si>
  <si>
    <t>Wynagrodzenia bezosobowe</t>
  </si>
  <si>
    <t>Zakup materiałów i wyposażenia</t>
  </si>
  <si>
    <t>Zakup energii</t>
  </si>
  <si>
    <t>Zakup usług remontowych</t>
  </si>
  <si>
    <t>Zakup usług zdrowotnych</t>
  </si>
  <si>
    <t>Zakup usług dostepu do sieci Internet</t>
  </si>
  <si>
    <t>Opłaty ztytułu zakupu usług telekomunikacyjnych telefonii komórkowej</t>
  </si>
  <si>
    <t>Opłaty ztytułu zakupu usług telekomunikacyjnych telefonii stacjonarnej</t>
  </si>
  <si>
    <t>Podróże służbowe krajowe</t>
  </si>
  <si>
    <t>Różne opłaty i składki</t>
  </si>
  <si>
    <t>Odpisy na ZFŚS</t>
  </si>
  <si>
    <t>Podatek od nieruchomości</t>
  </si>
  <si>
    <t>Opłaty na rzecz budżetów JST</t>
  </si>
  <si>
    <t>Szkolenia pracowników niebedących członkami korpusu służby cywilnej</t>
  </si>
  <si>
    <t>Zakup materiałów papierniczych do sprzętu drukarskiego i urządzeń kserograficznych</t>
  </si>
  <si>
    <t>Zakup akcesoriów komputerowych, w tym programów i licencji</t>
  </si>
  <si>
    <t>Wydatki inwestycyjne jednostek budżetowych</t>
  </si>
  <si>
    <t>Wydatki na zakupy inwestycyjne jednostek budżetowych</t>
  </si>
  <si>
    <t>Gospodarka gruntami i nieruchomosciami</t>
  </si>
  <si>
    <t>Opłaty na rzecz budżetu państwa</t>
  </si>
  <si>
    <t>Podatek od towarów i usług (VAT)</t>
  </si>
  <si>
    <t>Prace geodezyj.i kartogr.(nieinwestycyjne)</t>
  </si>
  <si>
    <t>Wynagrodzenia osobowe członków korpusu służby cywilnej</t>
  </si>
  <si>
    <t>Opłaty za administrowanie i czynsze za budynki, lokale i pomieszczenia garażowe</t>
  </si>
  <si>
    <t>Szkolenia członków korpusu służby cywilnej</t>
  </si>
  <si>
    <t>Podróże służbowe zagraniczne</t>
  </si>
  <si>
    <t>Zakup usług obejmujące tłumaczenia</t>
  </si>
  <si>
    <t>Wpłaty gmin i powiatów na rzecz innych jednostek samorządu terytorialnego oraz związków gmin lub związków powiatów na dofinansowanie zadań inwestycyjnych i zakupów inwestycyjnych</t>
  </si>
  <si>
    <t>Bezpieczeństwo publiczne i ochr.przeciwpożar.</t>
  </si>
  <si>
    <t>Komendy powiat.Państwowej Straży Pożarnej</t>
  </si>
  <si>
    <t>Wydatki osobowe nie zaliczone do uposażeń wypłacane żołnierzom i funkcjonariuszom</t>
  </si>
  <si>
    <t>Wynagrodzenia osob.członków korpusu służb cyw.</t>
  </si>
  <si>
    <t>Dodatkowe wynagrodzenia roczne</t>
  </si>
  <si>
    <t>Uposażenia żołnierzy zaw.i nadterm.oraz funkcjonariuszy</t>
  </si>
  <si>
    <t>Pozost.należn.żoł.zaw.i nadterm.oraz funkcjonariuszy</t>
  </si>
  <si>
    <t>Dodatkowe uposażenie roczne dla żołn.zaw.oraz nagrody roczne dla funkcjonariuszy</t>
  </si>
  <si>
    <t>Uposażenia i świadczenia pieniężne wypłacane przez okres roku żołnierzom i funkcjonariuszom zwolnionym ze służby</t>
  </si>
  <si>
    <t>Równoważniki pieniężne i ekwiwalenty dla żołnierzy i funkcjonariuszy</t>
  </si>
  <si>
    <t>Zakup sprzętu i uzbrojenia</t>
  </si>
  <si>
    <t>Pozost.podatki na rzecz budżetów JST</t>
  </si>
  <si>
    <t>Obsługa pap.wart., kredytów i pożyczek JST</t>
  </si>
  <si>
    <t>Odsetki i dysk.od kraj.skarb.pap.wart.oraz od krajowych pożyczek i kredytów</t>
  </si>
  <si>
    <t>Odsetki od samorzadowych papierów wart</t>
  </si>
  <si>
    <t>Szkoly podstawowe specjalne</t>
  </si>
  <si>
    <t>Zakup pomocy nauk.,dydaktycznych i książek</t>
  </si>
  <si>
    <t>Zespół Szkół Specjalnych</t>
  </si>
  <si>
    <t>Młodzieżowy Ośrodek Wychowawczy w Podborsku</t>
  </si>
  <si>
    <t>Dotacja podmiotowa budżetu dla niepublicznej jednostki systemu oświaty</t>
  </si>
  <si>
    <t xml:space="preserve">Licea profilowane </t>
  </si>
  <si>
    <t>Rózne opłaty i składki</t>
  </si>
  <si>
    <t>Składki na Fundusz Pracy</t>
  </si>
  <si>
    <t>Stypendia dla uczniów</t>
  </si>
  <si>
    <t>Wpłaty na PFRON</t>
  </si>
  <si>
    <t xml:space="preserve">Starostwo Powiatowe </t>
  </si>
  <si>
    <t>LO Białogard</t>
  </si>
  <si>
    <t>ZSP Białogard</t>
  </si>
  <si>
    <t>ZSP Tychowo</t>
  </si>
  <si>
    <t>ZS Specjalnych</t>
  </si>
  <si>
    <t>ZSP Karlino</t>
  </si>
  <si>
    <t xml:space="preserve">Podróże służbowe krajowe </t>
  </si>
  <si>
    <t>Poradnia Psychologiczno-Pedagogiczna</t>
  </si>
  <si>
    <t>Młodzieżowy Dom Kultury</t>
  </si>
  <si>
    <t>Składki na ubezp.zdrow.oraz świadczenia dla os.nieobjętych obow. ubezp. zdrowot.</t>
  </si>
  <si>
    <t>Składki na ubezpieczenie zdrowotne  (Ośrodek Wspierania Rodziny)</t>
  </si>
  <si>
    <t>Składki na ubezpieczenie zdrowotne (PUP)</t>
  </si>
  <si>
    <t>OŚRODEK WSPIERANIA RODZINY Dom Pod Świerkiem</t>
  </si>
  <si>
    <t>Świadczenia społeczne</t>
  </si>
  <si>
    <t>Zakup środków żywności</t>
  </si>
  <si>
    <t>RODZINNY DOM DZIECKA</t>
  </si>
  <si>
    <t>Placówki opiekuńczo-wychowawcze (PCPR)</t>
  </si>
  <si>
    <t>Dotacje celowe przekazane dla powiatu na zadania bieżace realizowane na podstawie porozumień (umów) między jst</t>
  </si>
  <si>
    <t>Dotacja celowa z budżetu na finansowanie lub dofinansowanie zadań zleconych do realizacji stowarzyszeniom</t>
  </si>
  <si>
    <t>Domy pomocy spolecznej</t>
  </si>
  <si>
    <t>Powiatowy Dom Samopomocy</t>
  </si>
  <si>
    <t>Opłaty na rzecz budżetów jst</t>
  </si>
  <si>
    <t>Starostwo Powiatowe - porozumienia</t>
  </si>
  <si>
    <t>Zespoły ds. orzekania o niepełnosprawności</t>
  </si>
  <si>
    <t xml:space="preserve">Świadczenia społeczne </t>
  </si>
  <si>
    <t>ZSP BIAŁOGARD</t>
  </si>
  <si>
    <t>ZSP TYCHOWO</t>
  </si>
  <si>
    <t>ZSP  BIAŁOGARD</t>
  </si>
  <si>
    <t>Starostwo Powiatowe</t>
  </si>
  <si>
    <t>Mlodzieżowe ośrodki wychowawcze</t>
  </si>
  <si>
    <t>Środki pochodzące z budżetu Unii Europejskiej przeznaczone na finansowanie programów i projektów realizowanych przez jednostki finansów publicznych</t>
  </si>
  <si>
    <t>Zarządzanie kryzysowe</t>
  </si>
  <si>
    <t>Wpływy z innych opłat stanowiących dochody jednostek samorządu terytorialnego na podstawie ustaw</t>
  </si>
  <si>
    <t>0490</t>
  </si>
  <si>
    <t>Wpływyz innych lokalnych opłat pobieranych przez jednostki samorządu terytorialnego na podstawie odrenych ustaw</t>
  </si>
  <si>
    <t>Środki na dofinansowanie własnych zadań bieżących gmin , powiatów, samorządów województw, pozyskane z innych źródeł</t>
  </si>
  <si>
    <t>Centra kształcenia ustawicznego i praktyczego oraz ośrodki dokształcania zawodowego</t>
  </si>
  <si>
    <t>OWR Dom pod Świerkiem</t>
  </si>
  <si>
    <t>Dotacje rozwojowe oraz srodki na finansowanie Wspólnej Polityki Rolnej</t>
  </si>
  <si>
    <t>Wpływy z tytułu pomocy finansowej udzielanej między jednostkami samorządu terytorialnego na dofinansowanie własnych zadań bieżących</t>
  </si>
  <si>
    <t>Dotacje otrzymane z funduszy celowych na finansowanie lub dofinansowanie kosztów realizacji inwestycji i zakupów inwestycyjnych jednostek sektora finansów publicznych</t>
  </si>
  <si>
    <t>w I półroczu 2008 roku</t>
  </si>
  <si>
    <t>Komendy powiatowe Policji</t>
  </si>
  <si>
    <t>Ochotnicze straże pożarne</t>
  </si>
  <si>
    <t>Centra kształcenia ustawicznegi i praktycznego</t>
  </si>
  <si>
    <t>Stołówki szkolne</t>
  </si>
  <si>
    <t>Biblioteki</t>
  </si>
  <si>
    <t>w tym w 2008r.</t>
  </si>
  <si>
    <t>Przebudowa i modernizacja szpitala po byłych Jednostkach Armii Radzieckiej na Centrum Rehabilitacji z Oddziałami Szpitala Rejonowego w Białogardzie</t>
  </si>
  <si>
    <t>Rok 2008</t>
  </si>
  <si>
    <t>Program INTERREG IIIA Polsko-Niemieckie Pogranicze na obszarze Krajów Związkowych Meklemburgia Pomorze Przednie/Brandenburgia - Polska (Województwo Zachodniopomorskie)</t>
  </si>
  <si>
    <t>Polsko-Niemieckie partnerstwo gospodarcze- utworzenie Powiatowego Ośrodka Wspierania Przedsiębiorczości w Białogardzie.</t>
  </si>
  <si>
    <t>Rozwijanie innowacyjnosci pedagogicznej w Liceum Ogólnokształcącym w Białogardzie - partnerstwo polsko- niemieckie</t>
  </si>
  <si>
    <t>Poprawa dostępu do zatrudnienia oraz wspieranie aktywności zawodowej w regionach w ramach Programu, Podziałanie 6.1.2 :Doradca zawodowy i pośrednik pracy w standardach unijnych"</t>
  </si>
  <si>
    <t>Rynek otwarty dla wszystkich</t>
  </si>
  <si>
    <t>Rozwój i upowszechnianie aktywnej integracji przez powiatowe centra pomocy rodzinie oraz osrodki pomocy społecznej</t>
  </si>
  <si>
    <t>Rodzina razem</t>
  </si>
  <si>
    <t>Koszty postepowania sadowego i prokuratorskiego</t>
  </si>
  <si>
    <t>Zakup usłub obejmujących wykonanie ekspertyz, analiz i opinii</t>
  </si>
  <si>
    <t>Odsetki od nieterminowych wpłat z tytułu pozostałych podatków i opłat</t>
  </si>
  <si>
    <t>Kary i odszkodowania wypłacane na rzecz osób fizycznych</t>
  </si>
  <si>
    <t>Wpłaty jednostek na fundusz celowy</t>
  </si>
  <si>
    <t>Wpłaty jednostek na fundusz celowy na finansowanie i dofinansowanie zadan inwestycyjnych</t>
  </si>
  <si>
    <t>Dotacja celowa na pomoc finansową udzielaną między jednostkami samorzad\u terytorialnego</t>
  </si>
  <si>
    <t>zakup usług pozostałych</t>
  </si>
  <si>
    <t>Wynagrodzenia osobowe</t>
  </si>
  <si>
    <t>podróże służbowe zagraniczne</t>
  </si>
  <si>
    <t>Podatek od nieruchomosci</t>
  </si>
  <si>
    <t>Stypendia dla ucczniow</t>
  </si>
  <si>
    <t>Składki na ubezpieczenie zdrowotne  (PCPRy)</t>
  </si>
  <si>
    <t>Młodziezowy Ośrodek Wychowawczy w Podborsku</t>
  </si>
  <si>
    <t>Ośrodek Wspierania Rodziny Dom Pod Świerkiem</t>
  </si>
  <si>
    <t>LO BIAŁOGARD</t>
  </si>
  <si>
    <t>ZSP KARLINO</t>
  </si>
  <si>
    <t>Komendy powiatowe policji</t>
  </si>
  <si>
    <t>Dotacja podmiotowa z budżetu dla jednostek niezaliczanych do sektora finansów publicznych</t>
  </si>
  <si>
    <t>Dotacje celowe przekazane gminie na zadania bieżące realizowane na podstawie porozumień (umów) między jednostkami samorządu terytorialnego</t>
  </si>
  <si>
    <t>Dotacja podmiotowa z budżetu dla samorządowej instytucji kultury</t>
  </si>
  <si>
    <t>Nagrody o charakterze szszególnym nie zaliczone do wynagrodzeń</t>
  </si>
  <si>
    <t>Nazwa</t>
  </si>
  <si>
    <t>Wykonanie wydatków budżetu Powiatu Białogardzkiego</t>
  </si>
  <si>
    <t xml:space="preserve">według paragrafów </t>
  </si>
  <si>
    <t>Opłaty z tytułu zakupu usług telekomunikacyjnych telefonii stacjonarnej</t>
  </si>
  <si>
    <t xml:space="preserve">Wynagrodzenia </t>
  </si>
  <si>
    <t>Pochodne od wynagrodzeń</t>
  </si>
  <si>
    <t xml:space="preserve">Dotacje </t>
  </si>
  <si>
    <t>Lp.</t>
  </si>
  <si>
    <t>Prywatne Liceum Ogólnokształcące SCHOLAR dla dorosłych po ZSZ</t>
  </si>
  <si>
    <t>Prywatne Liceum Ogólnokształcące dla dorosłych</t>
  </si>
  <si>
    <t>Prywatne Liceum Ogólnokształcące dla dorosych po ZSZ</t>
  </si>
  <si>
    <t>Prywatne Uzupełniające Liceum Ogólnokształcące dla dorosłych</t>
  </si>
  <si>
    <t>Prywatne Liceum Profilowane SCHOLAR dla dorosłych</t>
  </si>
  <si>
    <t>Warsztaty Terapii Zajęciowej SZANSA w Białogardzie</t>
  </si>
  <si>
    <t>Ośrodek Rehabilitacyjno-Edukacyjno-Wychowawczy w Kowalkach</t>
  </si>
  <si>
    <t>Biblioteka Powiatowa</t>
  </si>
  <si>
    <r>
      <t>Wykonanie dotacji podmiotowych
udzielone z budżetu Gminy/Powiatu</t>
    </r>
    <r>
      <rPr>
        <sz val="12"/>
        <rFont val="Times New (W1)"/>
        <family val="1"/>
      </rPr>
      <t xml:space="preserve"> ..............................
</t>
    </r>
    <r>
      <rPr>
        <b/>
        <sz val="12"/>
        <rFont val="Times New (W1)"/>
        <family val="1"/>
      </rPr>
      <t>w 2008 r.</t>
    </r>
  </si>
  <si>
    <t xml:space="preserve">udzielonych z budżetu Powiatu Białogardzkiego </t>
  </si>
  <si>
    <t>Kościoły - remonty</t>
  </si>
  <si>
    <t>Kluby sportowe</t>
  </si>
  <si>
    <t>na zadania własne powiatu realizowane przez podmioty</t>
  </si>
  <si>
    <t>Nazwa zadania</t>
  </si>
  <si>
    <t xml:space="preserve">Kwota dotacji </t>
  </si>
  <si>
    <t>Dotacje dla innych powiatów na pokrycie kosztów utrzymania dzieci w z Powiatu Białogardzkiego w placówkach opiekuńczo-wychowawczych</t>
  </si>
  <si>
    <t>Dotacje dla innych powiatów na pokrycie kosztów utrzymania dzieci w z Powiatu Białogardzkiego w rodzianch zastępczych</t>
  </si>
  <si>
    <t>Dotacja celowa na pomoc finansową udzielaną między jednostkami samorzadu terytorialnego</t>
  </si>
  <si>
    <t>Wykonanie dotacji celowych
udzielone z budżetu Gminy/Powiatu ..............................
na zadania własne gminy/powiatu realizowane przez podmioty należące
do sektora finansów publicznych w 2008 r.</t>
  </si>
  <si>
    <t>udzielonych z budżetu Powiatu Białogardzkiego</t>
  </si>
  <si>
    <t xml:space="preserve">należące do sektora finansów publicznych </t>
  </si>
  <si>
    <t>Dotacja dla Stowarzyszenia "SOS Wioski Dziecięce" w Karlinie na prowadzenie placówki opiekuńczo-wychowawczej</t>
  </si>
  <si>
    <t>Prowadzenie Domu Pomocy Społecznej w Białogardzie o zasięgu ponadgminnym (powiatowym) dla osób w podeszłym wieku i osób przewlekle somatycznie chorych - dotacja dla Stowarzyszenia Pomocy PRZYTULISKO w Białogardzie</t>
  </si>
  <si>
    <t>Upowszechnianie kultury fizycznej i sportu realizowane poprzez organizację imprez sportowych dla dzieci i młodzieży w Powiecie Białogardzkim</t>
  </si>
  <si>
    <t>Wykonanie dotacji celowych
udzielone z budżetu Gminy/Powiatu ..............................
na zadania własne gminy/powiatu realizowane przez podmioty 
nienależące do sektora finansów publicznych w 2008 r.</t>
  </si>
  <si>
    <t xml:space="preserve">nienależące do sektora finansów publicznych </t>
  </si>
  <si>
    <t>Jednostka samorządu terytorialnego</t>
  </si>
  <si>
    <t>Gmina Tychowo</t>
  </si>
  <si>
    <t>Wykonanie dotacji celowych</t>
  </si>
  <si>
    <t>na pomoc finansową innym jednostkom samorządu terytorialnego</t>
  </si>
  <si>
    <t>Dofinansowanie działalności bieżącej Ochotniczej Straży Pożarnej w Tychowie</t>
  </si>
  <si>
    <t>Miasto Białogard</t>
  </si>
  <si>
    <t>Gmina Białogard</t>
  </si>
  <si>
    <t>Gmina Karlino</t>
  </si>
  <si>
    <t xml:space="preserve"> między jednostkami samorządu terytorialnego</t>
  </si>
  <si>
    <t>Partnerska współpraca przy realizacji projektu systemowego współfinansowanego ze środków Europejskiego Funduszu Społecznego pn. "Rodzina razem"</t>
  </si>
  <si>
    <t xml:space="preserve">Wykonanie dotacji </t>
  </si>
  <si>
    <t>na dofinansowanie zadań inwestycyjnych i zakupów inwestycyjnych</t>
  </si>
  <si>
    <t>innych jednostek samorządu terytorialnego lub ich związków</t>
  </si>
  <si>
    <t>Związek Celowy Powiatów Województwa Zachodniopomorskiego</t>
  </si>
  <si>
    <t>Dofinansowanie projektu pn. "Informatyzacja zasobów geodezyjno-kartograficznych powiatów należących do Związku Celowego Powiatów Województwa Zachodniopomorskiego"</t>
  </si>
  <si>
    <t>Wpłaty Powiatu Białogardzkiego</t>
  </si>
  <si>
    <t>na wyodrębnione fundusze celowe</t>
  </si>
  <si>
    <t>Dofinansowanie kosztów remontu pomieszczeń Komendy Powiatowej Policji w Białogardzie</t>
  </si>
  <si>
    <t>Fundusz Wsparcia Policji</t>
  </si>
  <si>
    <t>Fundusz celowy</t>
  </si>
  <si>
    <t>Łączne poniesione nakłady finansowe</t>
  </si>
  <si>
    <t>Zadania w zakr. kultury fizycznej i sportu</t>
  </si>
  <si>
    <t>Promocja jednostek samorządu teryt.</t>
  </si>
  <si>
    <t xml:space="preserve">Plan przychodów i wydatków </t>
  </si>
  <si>
    <t>Powiatowego Funduszu Ochrony Środowiska i Gospodarki Wodnej</t>
  </si>
  <si>
    <t>Dział    900    Rozdział    90011</t>
  </si>
  <si>
    <t>Plan na 2008r.</t>
  </si>
  <si>
    <t>I</t>
  </si>
  <si>
    <t>x</t>
  </si>
  <si>
    <t>Stan funduszu na poczatek roku</t>
  </si>
  <si>
    <t>II</t>
  </si>
  <si>
    <t>1.</t>
  </si>
  <si>
    <t xml:space="preserve">III </t>
  </si>
  <si>
    <t>Wydatki ogółem</t>
  </si>
  <si>
    <t>Dotacje przekazane z funduszy celowych na realizacje zadań bieżących dla jednostek sektora finansów publicznych</t>
  </si>
  <si>
    <t xml:space="preserve">Zakup usług pozostałych </t>
  </si>
  <si>
    <t>IV</t>
  </si>
  <si>
    <t>Stan funduszu na koniec roku</t>
  </si>
  <si>
    <t xml:space="preserve">Powiatu Białogardzkiego </t>
  </si>
  <si>
    <t>Powiatowego Funduszu Gospodarki Zasobem Geodezyjnym i Kartograficznym</t>
  </si>
  <si>
    <t>Dział   710  Rozdział   71030</t>
  </si>
  <si>
    <t>Wyszczególnienie</t>
  </si>
  <si>
    <t>2.</t>
  </si>
  <si>
    <t>3.</t>
  </si>
  <si>
    <t>Przelewy redystrybucyjne</t>
  </si>
  <si>
    <t>Dotacje przekazane z funduszy celowych na realizację zadań bieżących dla jednostek sektora finansów publicznych</t>
  </si>
  <si>
    <t>Zakup materiałów papirniczych do sprzetu drukarskiego i urzadzeń kserograficznych</t>
  </si>
  <si>
    <t>Zakupo akcesoriów komputerowych, w tym programów i licencji</t>
  </si>
  <si>
    <t>Nagrody o charakterze szczególnym nie zaliczone do wynagrodzeń</t>
  </si>
  <si>
    <t xml:space="preserve">Składki na ubezpieczenie zdrowotne </t>
  </si>
  <si>
    <t>0910</t>
  </si>
  <si>
    <t>Zarząd Dróg Powiatowych</t>
  </si>
  <si>
    <t>0870</t>
  </si>
  <si>
    <t>Rodzinny Dom Dziecka</t>
  </si>
  <si>
    <t>0900</t>
  </si>
  <si>
    <t>2910</t>
  </si>
  <si>
    <t>Odsetki od nieterminowych wpłat z tytułu podatków i opłat</t>
  </si>
  <si>
    <t>Środki na dofinansowanie własnych zadań bieżących gmin, powiatów, samorządów województw, pozyskane z innych źródeł</t>
  </si>
  <si>
    <t>Wpływy ze sprzedaży składników majątkowych</t>
  </si>
  <si>
    <t>Odsetki od dotacji wykorzystanych niezgodnie z przeznaczeniem lub pobranych w nadmiernej wysokości</t>
  </si>
  <si>
    <t>150</t>
  </si>
  <si>
    <t>Dochody bieżące</t>
  </si>
  <si>
    <t>Dochody majątkowe</t>
  </si>
  <si>
    <t>Wykonanie - dochody bieżące</t>
  </si>
  <si>
    <t>Wykonanie- dochody bieżące</t>
  </si>
  <si>
    <t>Dotacje rozwojowe oraz środki na finansowanie Wspólnej Polityki Rolnej</t>
  </si>
  <si>
    <t xml:space="preserve">§ </t>
  </si>
  <si>
    <t>Załącznik Nr 7</t>
  </si>
  <si>
    <t>Załącznik Nr 8</t>
  </si>
  <si>
    <t>Załącznik Nr 9</t>
  </si>
  <si>
    <t>Załącznik Nr 13</t>
  </si>
  <si>
    <t>Załacznik Nr 14</t>
  </si>
  <si>
    <t>Załącznik Nr 15</t>
  </si>
  <si>
    <t>Załącznik Nr 16</t>
  </si>
  <si>
    <t>Załącznik Nr 18</t>
  </si>
  <si>
    <t>Załącznik Nr 19</t>
  </si>
  <si>
    <t>Załącznik Nr 20</t>
  </si>
  <si>
    <t>Załącznik nr 21</t>
  </si>
  <si>
    <t>Załącznik Nr 22</t>
  </si>
  <si>
    <t>Załącznik Nr 23</t>
  </si>
  <si>
    <t xml:space="preserve">w zł </t>
  </si>
  <si>
    <t>w I półroczu  2008 roku</t>
  </si>
  <si>
    <t xml:space="preserve">na zadania bieżące realizowane na podstawie porozumień </t>
  </si>
  <si>
    <t>Centra kształcenia ustawicznego i praktycznego</t>
  </si>
  <si>
    <t>Placówki opiekuńczo-wychow</t>
  </si>
  <si>
    <t>Poradnie psycholog.-pedagog</t>
  </si>
  <si>
    <t>Pozostałe zad.w zakr.kultury</t>
  </si>
  <si>
    <t>Młodzieżowe osrodki wychow.</t>
  </si>
  <si>
    <t>i innych środków Unii Eurpejskiej w 2008 roku</t>
  </si>
</sst>
</file>

<file path=xl/styles.xml><?xml version="1.0" encoding="utf-8"?>
<styleSheet xmlns="http://schemas.openxmlformats.org/spreadsheetml/2006/main">
  <numFmts count="6">
    <numFmt numFmtId="43" formatCode="_-* #,##0.00\ _z_ł_-;\-* #,##0.00\ _z_ł_-;_-* &quot;-&quot;??\ _z_ł_-;_-@_-"/>
    <numFmt numFmtId="164" formatCode="_-* #,##0.0\ _z_ł_-;\-* #,##0.0\ _z_ł_-;_-* &quot;-&quot;??\ _z_ł_-;_-@_-"/>
    <numFmt numFmtId="165" formatCode="_-* #,##0\ _z_ł_-;\-* #,##0\ _z_ł_-;_-* &quot;-&quot;??\ _z_ł_-;_-@_-"/>
    <numFmt numFmtId="166" formatCode="0.0"/>
    <numFmt numFmtId="167" formatCode="#,##0.0_ ;\-#,##0.0\ "/>
    <numFmt numFmtId="168" formatCode="\ #,##0&quot;      &quot;;\-#,##0&quot;      &quot;;&quot; -&quot;#&quot;      &quot;;@\ "/>
  </numFmts>
  <fonts count="47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sz val="11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(W1)"/>
      <family val="1"/>
    </font>
    <font>
      <sz val="8"/>
      <name val="Times New (W1)"/>
      <family val="1"/>
    </font>
    <font>
      <b/>
      <sz val="10"/>
      <name val="Times New (W1)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9"/>
      <name val="Times New (W1)"/>
      <family val="1"/>
    </font>
    <font>
      <sz val="9"/>
      <name val="Arial CE"/>
      <charset val="238"/>
    </font>
    <font>
      <sz val="8"/>
      <name val="Arial CE"/>
      <charset val="238"/>
    </font>
    <font>
      <b/>
      <sz val="9"/>
      <name val="Times New (W1)"/>
      <family val="1"/>
    </font>
    <font>
      <sz val="7"/>
      <name val="Times New (W1)"/>
      <family val="1"/>
    </font>
    <font>
      <sz val="11"/>
      <name val="Times New (W1)"/>
      <family val="1"/>
    </font>
    <font>
      <b/>
      <sz val="12"/>
      <name val="Times New (W1)"/>
      <family val="1"/>
    </font>
    <font>
      <sz val="12"/>
      <name val="Times New (W1)"/>
      <family val="1"/>
    </font>
    <font>
      <sz val="9"/>
      <name val="Times New Roman"/>
      <family val="1"/>
      <charset val="238"/>
    </font>
    <font>
      <b/>
      <sz val="8"/>
      <name val="Times New (W1)"/>
      <family val="1"/>
    </font>
    <font>
      <b/>
      <sz val="10"/>
      <name val="Times New Roman CE"/>
      <family val="1"/>
      <charset val="238"/>
    </font>
    <font>
      <b/>
      <sz val="12"/>
      <name val="Arial CE"/>
      <family val="2"/>
      <charset val="238"/>
    </font>
    <font>
      <b/>
      <i/>
      <sz val="8"/>
      <name val="Times New (W1)"/>
      <family val="1"/>
    </font>
    <font>
      <i/>
      <sz val="8"/>
      <name val="Times New (W1)"/>
      <family val="1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7"/>
      <name val="Arial CE"/>
      <charset val="238"/>
    </font>
    <font>
      <sz val="7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38"/>
    </font>
    <font>
      <b/>
      <sz val="11"/>
      <name val="Times New Roman"/>
      <family val="1"/>
    </font>
    <font>
      <sz val="6"/>
      <name val="Times New (W1)"/>
      <family val="1"/>
    </font>
    <font>
      <i/>
      <u/>
      <sz val="8"/>
      <name val="Times New (W1)"/>
      <family val="1"/>
    </font>
    <font>
      <b/>
      <sz val="8"/>
      <name val="Times New Roman"/>
      <family val="1"/>
      <charset val="238"/>
    </font>
    <font>
      <b/>
      <sz val="7"/>
      <name val="Times New Roman"/>
      <family val="1"/>
    </font>
    <font>
      <sz val="7"/>
      <name val="Times New Roman"/>
      <family val="1"/>
      <charset val="238"/>
    </font>
    <font>
      <b/>
      <sz val="7"/>
      <name val="Times New (W1)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4" fillId="0" borderId="0" xfId="0" applyFont="1"/>
    <xf numFmtId="0" fontId="2" fillId="0" borderId="1" xfId="0" applyFont="1" applyBorder="1" applyAlignment="1">
      <alignment horizontal="left" vertical="top" wrapText="1"/>
    </xf>
    <xf numFmtId="165" fontId="2" fillId="0" borderId="1" xfId="1" applyNumberFormat="1" applyFont="1" applyBorder="1"/>
    <xf numFmtId="0" fontId="2" fillId="0" borderId="1" xfId="0" applyFont="1" applyBorder="1"/>
    <xf numFmtId="0" fontId="4" fillId="0" borderId="1" xfId="0" applyFont="1" applyBorder="1" applyAlignment="1">
      <alignment wrapText="1"/>
    </xf>
    <xf numFmtId="49" fontId="2" fillId="0" borderId="1" xfId="0" applyNumberFormat="1" applyFont="1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165" fontId="5" fillId="0" borderId="1" xfId="0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165" fontId="5" fillId="0" borderId="1" xfId="1" applyNumberFormat="1" applyFont="1" applyBorder="1"/>
    <xf numFmtId="0" fontId="2" fillId="0" borderId="3" xfId="0" quotePrefix="1" applyFont="1" applyBorder="1" applyAlignment="1">
      <alignment horizontal="center"/>
    </xf>
    <xf numFmtId="165" fontId="5" fillId="0" borderId="1" xfId="1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165" fontId="2" fillId="0" borderId="1" xfId="1" applyNumberFormat="1" applyFont="1" applyFill="1" applyBorder="1"/>
    <xf numFmtId="0" fontId="5" fillId="0" borderId="1" xfId="0" applyFont="1" applyBorder="1"/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5" fontId="5" fillId="0" borderId="1" xfId="1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165" fontId="5" fillId="0" borderId="0" xfId="1" applyNumberFormat="1" applyFont="1"/>
    <xf numFmtId="165" fontId="6" fillId="0" borderId="0" xfId="0" applyNumberFormat="1" applyFont="1"/>
    <xf numFmtId="165" fontId="2" fillId="0" borderId="2" xfId="1" applyNumberFormat="1" applyFont="1" applyBorder="1"/>
    <xf numFmtId="165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165" fontId="0" fillId="0" borderId="0" xfId="1" applyNumberFormat="1" applyFont="1"/>
    <xf numFmtId="0" fontId="9" fillId="0" borderId="0" xfId="0" applyFont="1"/>
    <xf numFmtId="0" fontId="9" fillId="0" borderId="0" xfId="0" applyFont="1" applyAlignment="1">
      <alignment vertical="top"/>
    </xf>
    <xf numFmtId="0" fontId="9" fillId="0" borderId="0" xfId="0" applyFont="1" applyFill="1" applyAlignment="1">
      <alignment horizontal="left"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43" fontId="2" fillId="0" borderId="1" xfId="1" applyNumberFormat="1" applyFont="1" applyBorder="1" applyAlignment="1">
      <alignment horizontal="center"/>
    </xf>
    <xf numFmtId="43" fontId="0" fillId="0" borderId="0" xfId="0" applyNumberFormat="1"/>
    <xf numFmtId="165" fontId="10" fillId="0" borderId="0" xfId="0" applyNumberFormat="1" applyFont="1"/>
    <xf numFmtId="0" fontId="10" fillId="0" borderId="0" xfId="0" applyFont="1"/>
    <xf numFmtId="0" fontId="11" fillId="0" borderId="0" xfId="0" applyFont="1"/>
    <xf numFmtId="0" fontId="11" fillId="0" borderId="1" xfId="0" applyFont="1" applyBorder="1" applyAlignment="1">
      <alignment horizontal="center"/>
    </xf>
    <xf numFmtId="164" fontId="12" fillId="0" borderId="1" xfId="1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165" fontId="11" fillId="0" borderId="1" xfId="1" applyNumberFormat="1" applyFont="1" applyBorder="1"/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5" fontId="11" fillId="0" borderId="8" xfId="1" applyNumberFormat="1" applyFont="1" applyBorder="1"/>
    <xf numFmtId="0" fontId="11" fillId="0" borderId="1" xfId="0" applyFont="1" applyBorder="1" applyAlignment="1">
      <alignment horizontal="center" vertical="top" wrapText="1"/>
    </xf>
    <xf numFmtId="0" fontId="11" fillId="0" borderId="0" xfId="0" applyFont="1" applyFill="1"/>
    <xf numFmtId="0" fontId="13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Border="1"/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3" fontId="15" fillId="0" borderId="1" xfId="0" applyNumberFormat="1" applyFont="1" applyBorder="1"/>
    <xf numFmtId="166" fontId="13" fillId="0" borderId="1" xfId="0" applyNumberFormat="1" applyFont="1" applyBorder="1"/>
    <xf numFmtId="4" fontId="15" fillId="0" borderId="1" xfId="0" applyNumberFormat="1" applyFont="1" applyBorder="1"/>
    <xf numFmtId="4" fontId="11" fillId="0" borderId="1" xfId="0" applyNumberFormat="1" applyFont="1" applyFill="1" applyBorder="1" applyAlignment="1">
      <alignment horizontal="center" vertical="center"/>
    </xf>
    <xf numFmtId="43" fontId="2" fillId="0" borderId="0" xfId="0" applyNumberFormat="1" applyFont="1"/>
    <xf numFmtId="165" fontId="16" fillId="0" borderId="8" xfId="1" applyNumberFormat="1" applyFont="1" applyBorder="1"/>
    <xf numFmtId="43" fontId="16" fillId="0" borderId="8" xfId="1" applyNumberFormat="1" applyFont="1" applyBorder="1"/>
    <xf numFmtId="165" fontId="5" fillId="0" borderId="0" xfId="0" applyNumberFormat="1" applyFont="1"/>
    <xf numFmtId="0" fontId="5" fillId="0" borderId="0" xfId="0" applyFont="1"/>
    <xf numFmtId="0" fontId="17" fillId="0" borderId="1" xfId="0" applyFont="1" applyBorder="1" applyAlignment="1">
      <alignment horizontal="center"/>
    </xf>
    <xf numFmtId="0" fontId="16" fillId="0" borderId="1" xfId="0" quotePrefix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165" fontId="16" fillId="0" borderId="1" xfId="0" applyNumberFormat="1" applyFont="1" applyBorder="1" applyAlignment="1">
      <alignment horizontal="center"/>
    </xf>
    <xf numFmtId="43" fontId="16" fillId="0" borderId="1" xfId="1" applyNumberFormat="1" applyFont="1" applyBorder="1" applyAlignment="1">
      <alignment horizontal="center"/>
    </xf>
    <xf numFmtId="43" fontId="16" fillId="0" borderId="8" xfId="1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" xfId="0" quotePrefix="1" applyFont="1" applyBorder="1" applyAlignment="1">
      <alignment horizontal="center"/>
    </xf>
    <xf numFmtId="165" fontId="18" fillId="0" borderId="1" xfId="1" applyNumberFormat="1" applyFont="1" applyBorder="1" applyAlignment="1">
      <alignment horizontal="left"/>
    </xf>
    <xf numFmtId="165" fontId="18" fillId="0" borderId="1" xfId="1" applyNumberFormat="1" applyFont="1" applyBorder="1"/>
    <xf numFmtId="43" fontId="18" fillId="0" borderId="1" xfId="1" applyNumberFormat="1" applyFont="1" applyBorder="1"/>
    <xf numFmtId="43" fontId="18" fillId="0" borderId="8" xfId="1" applyNumberFormat="1" applyFont="1" applyBorder="1"/>
    <xf numFmtId="0" fontId="16" fillId="0" borderId="1" xfId="0" applyFont="1" applyBorder="1" applyAlignment="1">
      <alignment horizontal="left" vertical="top" wrapText="1"/>
    </xf>
    <xf numFmtId="165" fontId="16" fillId="0" borderId="1" xfId="1" applyNumberFormat="1" applyFont="1" applyBorder="1"/>
    <xf numFmtId="43" fontId="16" fillId="0" borderId="1" xfId="1" applyNumberFormat="1" applyFont="1" applyBorder="1"/>
    <xf numFmtId="0" fontId="18" fillId="0" borderId="1" xfId="0" applyFont="1" applyBorder="1" applyAlignment="1">
      <alignment horizontal="left" vertical="top" wrapText="1"/>
    </xf>
    <xf numFmtId="165" fontId="16" fillId="0" borderId="1" xfId="1" applyNumberFormat="1" applyFont="1" applyBorder="1" applyAlignment="1">
      <alignment horizontal="left"/>
    </xf>
    <xf numFmtId="0" fontId="16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43" fontId="18" fillId="0" borderId="1" xfId="1" applyNumberFormat="1" applyFont="1" applyFill="1" applyBorder="1"/>
    <xf numFmtId="165" fontId="18" fillId="0" borderId="1" xfId="1" applyNumberFormat="1" applyFont="1" applyFill="1" applyBorder="1"/>
    <xf numFmtId="0" fontId="16" fillId="0" borderId="1" xfId="0" applyFont="1" applyBorder="1"/>
    <xf numFmtId="0" fontId="18" fillId="0" borderId="1" xfId="0" applyFont="1" applyBorder="1"/>
    <xf numFmtId="49" fontId="18" fillId="0" borderId="1" xfId="0" applyNumberFormat="1" applyFont="1" applyBorder="1"/>
    <xf numFmtId="0" fontId="19" fillId="0" borderId="1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43" fontId="16" fillId="0" borderId="1" xfId="0" applyNumberFormat="1" applyFont="1" applyBorder="1" applyAlignment="1">
      <alignment horizontal="center"/>
    </xf>
    <xf numFmtId="0" fontId="0" fillId="0" borderId="0" xfId="0" applyFont="1"/>
    <xf numFmtId="0" fontId="11" fillId="0" borderId="0" xfId="0" applyFont="1" applyAlignment="1"/>
    <xf numFmtId="167" fontId="16" fillId="0" borderId="1" xfId="1" applyNumberFormat="1" applyFont="1" applyBorder="1" applyAlignment="1">
      <alignment horizontal="right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7" fontId="18" fillId="0" borderId="1" xfId="1" applyNumberFormat="1" applyFont="1" applyBorder="1" applyAlignment="1">
      <alignment horizontal="right"/>
    </xf>
    <xf numFmtId="165" fontId="20" fillId="0" borderId="0" xfId="0" applyNumberFormat="1" applyFont="1"/>
    <xf numFmtId="0" fontId="20" fillId="0" borderId="0" xfId="0" applyFont="1"/>
    <xf numFmtId="0" fontId="17" fillId="0" borderId="1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/>
    <xf numFmtId="0" fontId="17" fillId="0" borderId="3" xfId="0" applyFont="1" applyBorder="1"/>
    <xf numFmtId="0" fontId="17" fillId="0" borderId="4" xfId="0" applyFont="1" applyBorder="1" applyAlignment="1">
      <alignment horizontal="center" vertical="center" wrapText="1"/>
    </xf>
    <xf numFmtId="2" fontId="16" fillId="0" borderId="1" xfId="1" applyNumberFormat="1" applyFont="1" applyBorder="1"/>
    <xf numFmtId="2" fontId="18" fillId="0" borderId="1" xfId="1" applyNumberFormat="1" applyFont="1" applyFill="1" applyBorder="1"/>
    <xf numFmtId="2" fontId="18" fillId="0" borderId="1" xfId="1" applyNumberFormat="1" applyFont="1" applyBorder="1"/>
    <xf numFmtId="2" fontId="18" fillId="0" borderId="8" xfId="1" applyNumberFormat="1" applyFont="1" applyBorder="1"/>
    <xf numFmtId="2" fontId="16" fillId="0" borderId="8" xfId="1" applyNumberFormat="1" applyFont="1" applyBorder="1"/>
    <xf numFmtId="165" fontId="18" fillId="0" borderId="8" xfId="1" applyNumberFormat="1" applyFont="1" applyBorder="1"/>
    <xf numFmtId="164" fontId="16" fillId="0" borderId="1" xfId="1" applyNumberFormat="1" applyFont="1" applyBorder="1" applyAlignment="1">
      <alignment horizontal="center"/>
    </xf>
    <xf numFmtId="164" fontId="18" fillId="0" borderId="1" xfId="1" applyNumberFormat="1" applyFont="1" applyBorder="1" applyAlignment="1">
      <alignment horizontal="center"/>
    </xf>
    <xf numFmtId="165" fontId="2" fillId="0" borderId="0" xfId="0" applyNumberFormat="1" applyFont="1"/>
    <xf numFmtId="165" fontId="18" fillId="0" borderId="1" xfId="1" applyNumberFormat="1" applyFont="1" applyFill="1" applyBorder="1" applyAlignment="1">
      <alignment horizontal="right"/>
    </xf>
    <xf numFmtId="0" fontId="18" fillId="0" borderId="1" xfId="0" applyFont="1" applyBorder="1" applyAlignment="1">
      <alignment wrapText="1"/>
    </xf>
    <xf numFmtId="0" fontId="13" fillId="0" borderId="0" xfId="0" applyFont="1" applyFill="1"/>
    <xf numFmtId="0" fontId="19" fillId="0" borderId="1" xfId="0" quotePrefix="1" applyFont="1" applyBorder="1" applyAlignment="1">
      <alignment horizontal="center" vertical="center"/>
    </xf>
    <xf numFmtId="0" fontId="19" fillId="0" borderId="1" xfId="0" applyFont="1" applyBorder="1"/>
    <xf numFmtId="165" fontId="19" fillId="0" borderId="1" xfId="1" applyNumberFormat="1" applyFont="1" applyFill="1" applyBorder="1" applyAlignment="1">
      <alignment horizontal="right"/>
    </xf>
    <xf numFmtId="43" fontId="19" fillId="0" borderId="1" xfId="1" applyNumberFormat="1" applyFont="1" applyFill="1" applyBorder="1" applyAlignment="1">
      <alignment horizontal="right"/>
    </xf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/>
    </xf>
    <xf numFmtId="0" fontId="22" fillId="0" borderId="1" xfId="0" applyFont="1" applyBorder="1"/>
    <xf numFmtId="0" fontId="24" fillId="0" borderId="0" xfId="0" applyFont="1" applyAlignment="1">
      <alignment wrapText="1"/>
    </xf>
    <xf numFmtId="0" fontId="26" fillId="0" borderId="0" xfId="0" applyFont="1"/>
    <xf numFmtId="0" fontId="14" fillId="0" borderId="0" xfId="0" applyFont="1"/>
    <xf numFmtId="0" fontId="22" fillId="0" borderId="1" xfId="0" applyFont="1" applyBorder="1" applyAlignment="1">
      <alignment horizontal="center"/>
    </xf>
    <xf numFmtId="43" fontId="22" fillId="0" borderId="1" xfId="1" applyNumberFormat="1" applyFont="1" applyBorder="1"/>
    <xf numFmtId="164" fontId="22" fillId="0" borderId="1" xfId="1" applyNumberFormat="1" applyFont="1" applyBorder="1" applyAlignment="1">
      <alignment horizontal="center"/>
    </xf>
    <xf numFmtId="0" fontId="19" fillId="0" borderId="0" xfId="0" applyFont="1"/>
    <xf numFmtId="0" fontId="19" fillId="0" borderId="1" xfId="0" applyFont="1" applyBorder="1" applyAlignment="1">
      <alignment horizontal="center"/>
    </xf>
    <xf numFmtId="43" fontId="19" fillId="0" borderId="1" xfId="1" applyNumberFormat="1" applyFont="1" applyBorder="1"/>
    <xf numFmtId="164" fontId="19" fillId="0" borderId="1" xfId="1" applyNumberFormat="1" applyFont="1" applyBorder="1" applyAlignment="1">
      <alignment horizontal="center"/>
    </xf>
    <xf numFmtId="0" fontId="19" fillId="0" borderId="1" xfId="0" quotePrefix="1" applyFont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21" fillId="0" borderId="0" xfId="0" applyFont="1"/>
    <xf numFmtId="0" fontId="18" fillId="0" borderId="1" xfId="0" quotePrefix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2" fillId="0" borderId="1" xfId="0" quotePrefix="1" applyFont="1" applyBorder="1" applyAlignment="1">
      <alignment horizontal="center"/>
    </xf>
    <xf numFmtId="0" fontId="22" fillId="0" borderId="1" xfId="0" applyFont="1" applyBorder="1" applyAlignment="1">
      <alignment horizontal="left"/>
    </xf>
    <xf numFmtId="165" fontId="22" fillId="0" borderId="1" xfId="1" applyNumberFormat="1" applyFont="1" applyFill="1" applyBorder="1" applyAlignment="1">
      <alignment horizontal="right"/>
    </xf>
    <xf numFmtId="43" fontId="22" fillId="0" borderId="1" xfId="1" applyNumberFormat="1" applyFont="1" applyFill="1" applyBorder="1" applyAlignment="1">
      <alignment horizontal="right"/>
    </xf>
    <xf numFmtId="164" fontId="19" fillId="0" borderId="1" xfId="1" applyNumberFormat="1" applyFont="1" applyBorder="1" applyAlignment="1">
      <alignment horizontal="right"/>
    </xf>
    <xf numFmtId="0" fontId="22" fillId="0" borderId="1" xfId="0" quotePrefix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center" wrapText="1"/>
    </xf>
    <xf numFmtId="165" fontId="19" fillId="0" borderId="4" xfId="1" applyNumberFormat="1" applyFont="1" applyFill="1" applyBorder="1" applyAlignment="1">
      <alignment horizontal="right"/>
    </xf>
    <xf numFmtId="43" fontId="19" fillId="0" borderId="4" xfId="1" applyNumberFormat="1" applyFont="1" applyFill="1" applyBorder="1" applyAlignment="1">
      <alignment horizontal="right"/>
    </xf>
    <xf numFmtId="0" fontId="22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64" fontId="22" fillId="0" borderId="1" xfId="1" applyNumberFormat="1" applyFont="1" applyBorder="1" applyAlignment="1">
      <alignment horizontal="right"/>
    </xf>
    <xf numFmtId="0" fontId="28" fillId="0" borderId="0" xfId="0" applyFont="1"/>
    <xf numFmtId="165" fontId="22" fillId="0" borderId="1" xfId="1" applyNumberFormat="1" applyFont="1" applyBorder="1" applyAlignment="1">
      <alignment horizontal="center"/>
    </xf>
    <xf numFmtId="43" fontId="22" fillId="0" borderId="1" xfId="1" applyNumberFormat="1" applyFont="1" applyBorder="1" applyAlignment="1">
      <alignment horizontal="center"/>
    </xf>
    <xf numFmtId="0" fontId="22" fillId="0" borderId="0" xfId="0" applyFont="1"/>
    <xf numFmtId="0" fontId="19" fillId="0" borderId="1" xfId="0" applyFont="1" applyBorder="1" applyAlignment="1">
      <alignment horizontal="left"/>
    </xf>
    <xf numFmtId="165" fontId="19" fillId="0" borderId="1" xfId="1" applyNumberFormat="1" applyFont="1" applyBorder="1" applyAlignment="1">
      <alignment horizontal="center"/>
    </xf>
    <xf numFmtId="43" fontId="19" fillId="0" borderId="1" xfId="1" applyNumberFormat="1" applyFont="1" applyBorder="1" applyAlignment="1">
      <alignment horizontal="center"/>
    </xf>
    <xf numFmtId="165" fontId="19" fillId="0" borderId="1" xfId="1" applyNumberFormat="1" applyFont="1" applyBorder="1"/>
    <xf numFmtId="165" fontId="22" fillId="0" borderId="1" xfId="1" applyNumberFormat="1" applyFont="1" applyBorder="1"/>
    <xf numFmtId="0" fontId="22" fillId="0" borderId="2" xfId="0" quotePrefix="1" applyFont="1" applyBorder="1" applyAlignment="1">
      <alignment horizontal="center"/>
    </xf>
    <xf numFmtId="0" fontId="19" fillId="0" borderId="3" xfId="0" quotePrefix="1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3" xfId="0" quotePrefix="1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49" fontId="19" fillId="0" borderId="1" xfId="0" applyNumberFormat="1" applyFont="1" applyBorder="1"/>
    <xf numFmtId="43" fontId="13" fillId="0" borderId="1" xfId="1" applyFont="1" applyBorder="1"/>
    <xf numFmtId="43" fontId="15" fillId="0" borderId="1" xfId="0" applyNumberFormat="1" applyFont="1" applyBorder="1"/>
    <xf numFmtId="43" fontId="13" fillId="0" borderId="1" xfId="1" applyFont="1" applyFill="1" applyBorder="1"/>
    <xf numFmtId="165" fontId="2" fillId="0" borderId="0" xfId="1" applyNumberFormat="1" applyFont="1" applyBorder="1"/>
    <xf numFmtId="0" fontId="5" fillId="0" borderId="3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4" fillId="0" borderId="0" xfId="0" applyFont="1" applyFill="1"/>
    <xf numFmtId="43" fontId="0" fillId="0" borderId="0" xfId="1" applyFont="1" applyFill="1"/>
    <xf numFmtId="0" fontId="4" fillId="0" borderId="10" xfId="0" applyFont="1" applyFill="1" applyBorder="1" applyAlignment="1">
      <alignment horizontal="center"/>
    </xf>
    <xf numFmtId="43" fontId="4" fillId="0" borderId="10" xfId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43" fontId="4" fillId="0" borderId="11" xfId="1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43" fontId="7" fillId="0" borderId="4" xfId="1" quotePrefix="1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8" fillId="2" borderId="1" xfId="0" quotePrefix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vertical="center"/>
    </xf>
    <xf numFmtId="165" fontId="28" fillId="2" borderId="1" xfId="1" applyNumberFormat="1" applyFont="1" applyFill="1" applyBorder="1" applyAlignment="1">
      <alignment vertical="center"/>
    </xf>
    <xf numFmtId="43" fontId="28" fillId="2" borderId="1" xfId="1" applyNumberFormat="1" applyFont="1" applyFill="1" applyBorder="1" applyAlignment="1">
      <alignment horizontal="right" vertical="center"/>
    </xf>
    <xf numFmtId="164" fontId="28" fillId="2" borderId="1" xfId="1" applyNumberFormat="1" applyFont="1" applyFill="1" applyBorder="1" applyAlignment="1">
      <alignment vertical="center"/>
    </xf>
    <xf numFmtId="0" fontId="28" fillId="0" borderId="1" xfId="0" quotePrefix="1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165" fontId="28" fillId="0" borderId="1" xfId="1" applyNumberFormat="1" applyFont="1" applyFill="1" applyBorder="1" applyAlignment="1">
      <alignment vertical="center"/>
    </xf>
    <xf numFmtId="43" fontId="28" fillId="0" borderId="1" xfId="1" applyNumberFormat="1" applyFont="1" applyFill="1" applyBorder="1" applyAlignment="1">
      <alignment horizontal="right" vertical="center"/>
    </xf>
    <xf numFmtId="164" fontId="28" fillId="0" borderId="1" xfId="1" applyNumberFormat="1" applyFont="1" applyFill="1" applyBorder="1" applyAlignment="1">
      <alignment vertical="center"/>
    </xf>
    <xf numFmtId="0" fontId="14" fillId="0" borderId="1" xfId="0" quotePrefix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165" fontId="14" fillId="0" borderId="1" xfId="1" applyNumberFormat="1" applyFont="1" applyFill="1" applyBorder="1" applyAlignment="1">
      <alignment vertical="center"/>
    </xf>
    <xf numFmtId="43" fontId="14" fillId="0" borderId="1" xfId="1" applyNumberFormat="1" applyFont="1" applyFill="1" applyBorder="1" applyAlignment="1">
      <alignment horizontal="right" vertical="center"/>
    </xf>
    <xf numFmtId="164" fontId="14" fillId="0" borderId="1" xfId="1" applyNumberFormat="1" applyFont="1" applyFill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43" fontId="14" fillId="0" borderId="1" xfId="1" applyNumberFormat="1" applyFont="1" applyFill="1" applyBorder="1" applyAlignment="1">
      <alignment vertical="center"/>
    </xf>
    <xf numFmtId="43" fontId="28" fillId="2" borderId="1" xfId="1" applyNumberFormat="1" applyFont="1" applyFill="1" applyBorder="1" applyAlignment="1">
      <alignment vertical="center"/>
    </xf>
    <xf numFmtId="43" fontId="28" fillId="0" borderId="1" xfId="1" applyNumberFormat="1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/>
    </xf>
    <xf numFmtId="0" fontId="14" fillId="0" borderId="3" xfId="0" quotePrefix="1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vertical="center"/>
    </xf>
    <xf numFmtId="165" fontId="28" fillId="2" borderId="4" xfId="1" applyNumberFormat="1" applyFont="1" applyFill="1" applyBorder="1" applyAlignment="1">
      <alignment vertical="center"/>
    </xf>
    <xf numFmtId="43" fontId="28" fillId="2" borderId="4" xfId="1" applyNumberFormat="1" applyFont="1" applyFill="1" applyBorder="1" applyAlignment="1">
      <alignment vertic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165" fontId="31" fillId="0" borderId="1" xfId="1" applyNumberFormat="1" applyFont="1" applyFill="1" applyBorder="1" applyAlignment="1">
      <alignment vertical="center"/>
    </xf>
    <xf numFmtId="43" fontId="31" fillId="0" borderId="1" xfId="1" applyNumberFormat="1" applyFont="1" applyFill="1" applyBorder="1" applyAlignment="1">
      <alignment vertical="center"/>
    </xf>
    <xf numFmtId="0" fontId="32" fillId="0" borderId="1" xfId="0" quotePrefix="1" applyFont="1" applyBorder="1" applyAlignment="1">
      <alignment horizontal="center" vertical="center"/>
    </xf>
    <xf numFmtId="0" fontId="31" fillId="0" borderId="1" xfId="0" applyFont="1" applyBorder="1"/>
    <xf numFmtId="0" fontId="14" fillId="0" borderId="1" xfId="0" applyFont="1" applyBorder="1"/>
    <xf numFmtId="0" fontId="28" fillId="0" borderId="1" xfId="0" applyFont="1" applyBorder="1"/>
    <xf numFmtId="0" fontId="14" fillId="0" borderId="9" xfId="0" applyFont="1" applyBorder="1" applyAlignment="1">
      <alignment horizontal="center" vertical="center"/>
    </xf>
    <xf numFmtId="0" fontId="28" fillId="2" borderId="1" xfId="0" applyFont="1" applyFill="1" applyBorder="1"/>
    <xf numFmtId="0" fontId="28" fillId="2" borderId="4" xfId="0" applyFont="1" applyFill="1" applyBorder="1"/>
    <xf numFmtId="0" fontId="28" fillId="0" borderId="4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right"/>
    </xf>
    <xf numFmtId="0" fontId="28" fillId="0" borderId="1" xfId="0" applyFont="1" applyFill="1" applyBorder="1" applyAlignment="1">
      <alignment horizontal="left"/>
    </xf>
    <xf numFmtId="0" fontId="28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2" xfId="0" quotePrefix="1" applyFont="1" applyBorder="1" applyAlignment="1">
      <alignment horizontal="center" vertical="center"/>
    </xf>
    <xf numFmtId="0" fontId="14" fillId="0" borderId="2" xfId="0" applyFont="1" applyFill="1" applyBorder="1" applyAlignment="1">
      <alignment wrapText="1"/>
    </xf>
    <xf numFmtId="165" fontId="14" fillId="0" borderId="2" xfId="1" applyNumberFormat="1" applyFont="1" applyFill="1" applyBorder="1" applyAlignment="1">
      <alignment vertical="center"/>
    </xf>
    <xf numFmtId="43" fontId="14" fillId="0" borderId="2" xfId="1" applyNumberFormat="1" applyFont="1" applyFill="1" applyBorder="1" applyAlignment="1">
      <alignment vertical="center"/>
    </xf>
    <xf numFmtId="164" fontId="14" fillId="0" borderId="2" xfId="1" applyNumberFormat="1" applyFont="1" applyFill="1" applyBorder="1" applyAlignment="1">
      <alignment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/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/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0" fontId="28" fillId="2" borderId="1" xfId="0" applyFont="1" applyFill="1" applyBorder="1" applyAlignment="1">
      <alignment horizontal="center" vertical="top"/>
    </xf>
    <xf numFmtId="0" fontId="28" fillId="2" borderId="1" xfId="0" applyFont="1" applyFill="1" applyBorder="1" applyAlignment="1">
      <alignment vertical="top"/>
    </xf>
    <xf numFmtId="0" fontId="28" fillId="0" borderId="1" xfId="0" applyFont="1" applyFill="1" applyBorder="1" applyAlignment="1">
      <alignment horizontal="center" vertical="top"/>
    </xf>
    <xf numFmtId="0" fontId="28" fillId="0" borderId="1" xfId="0" applyFont="1" applyFill="1" applyBorder="1" applyAlignment="1">
      <alignment vertical="top"/>
    </xf>
    <xf numFmtId="0" fontId="14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vertical="top" wrapText="1"/>
    </xf>
    <xf numFmtId="0" fontId="14" fillId="0" borderId="4" xfId="0" quotePrefix="1" applyFont="1" applyBorder="1" applyAlignment="1">
      <alignment horizontal="center" vertical="center"/>
    </xf>
    <xf numFmtId="0" fontId="14" fillId="0" borderId="4" xfId="0" applyFont="1" applyBorder="1"/>
    <xf numFmtId="165" fontId="14" fillId="0" borderId="4" xfId="1" applyNumberFormat="1" applyFont="1" applyFill="1" applyBorder="1" applyAlignment="1">
      <alignment vertical="center"/>
    </xf>
    <xf numFmtId="43" fontId="14" fillId="0" borderId="4" xfId="1" applyNumberFormat="1" applyFont="1" applyFill="1" applyBorder="1" applyAlignment="1">
      <alignment vertical="center"/>
    </xf>
    <xf numFmtId="0" fontId="31" fillId="0" borderId="1" xfId="0" quotePrefix="1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4" fillId="0" borderId="2" xfId="0" applyFont="1" applyBorder="1"/>
    <xf numFmtId="0" fontId="28" fillId="0" borderId="4" xfId="0" quotePrefix="1" applyFont="1" applyBorder="1" applyAlignment="1">
      <alignment horizontal="center" vertical="center"/>
    </xf>
    <xf numFmtId="0" fontId="28" fillId="0" borderId="4" xfId="0" applyFont="1" applyBorder="1"/>
    <xf numFmtId="0" fontId="31" fillId="0" borderId="5" xfId="0" quotePrefix="1" applyFont="1" applyBorder="1" applyAlignment="1">
      <alignment horizontal="center" vertical="center"/>
    </xf>
    <xf numFmtId="0" fontId="31" fillId="0" borderId="3" xfId="0" applyFont="1" applyBorder="1"/>
    <xf numFmtId="165" fontId="31" fillId="0" borderId="4" xfId="1" applyNumberFormat="1" applyFont="1" applyFill="1" applyBorder="1" applyAlignment="1">
      <alignment vertical="center"/>
    </xf>
    <xf numFmtId="43" fontId="31" fillId="0" borderId="4" xfId="1" applyNumberFormat="1" applyFont="1" applyFill="1" applyBorder="1" applyAlignment="1">
      <alignment vertical="center"/>
    </xf>
    <xf numFmtId="43" fontId="28" fillId="0" borderId="4" xfId="1" applyNumberFormat="1" applyFont="1" applyFill="1" applyBorder="1" applyAlignment="1">
      <alignment vertical="center"/>
    </xf>
    <xf numFmtId="0" fontId="14" fillId="2" borderId="1" xfId="0" quotePrefix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14" fillId="0" borderId="1" xfId="0" quotePrefix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wrapText="1"/>
    </xf>
    <xf numFmtId="0" fontId="28" fillId="0" borderId="1" xfId="0" applyFont="1" applyFill="1" applyBorder="1" applyAlignment="1">
      <alignment wrapText="1"/>
    </xf>
    <xf numFmtId="0" fontId="16" fillId="0" borderId="4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left" vertical="top" wrapText="1"/>
    </xf>
    <xf numFmtId="165" fontId="27" fillId="0" borderId="4" xfId="1" applyNumberFormat="1" applyFont="1" applyFill="1" applyBorder="1" applyAlignment="1">
      <alignment horizontal="right"/>
    </xf>
    <xf numFmtId="0" fontId="27" fillId="0" borderId="12" xfId="0" quotePrefix="1" applyFont="1" applyFill="1" applyBorder="1" applyAlignment="1">
      <alignment horizontal="center" vertical="center"/>
    </xf>
    <xf numFmtId="0" fontId="18" fillId="0" borderId="3" xfId="0" quotePrefix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5" fontId="16" fillId="0" borderId="1" xfId="1" applyNumberFormat="1" applyFont="1" applyFill="1" applyBorder="1" applyAlignment="1">
      <alignment horizontal="right"/>
    </xf>
    <xf numFmtId="0" fontId="33" fillId="0" borderId="1" xfId="0" applyFont="1" applyBorder="1" applyAlignment="1">
      <alignment horizontal="left" vertical="top" wrapText="1"/>
    </xf>
    <xf numFmtId="165" fontId="33" fillId="0" borderId="1" xfId="1" applyNumberFormat="1" applyFont="1" applyFill="1" applyBorder="1" applyAlignment="1">
      <alignment horizontal="right"/>
    </xf>
    <xf numFmtId="0" fontId="33" fillId="0" borderId="4" xfId="0" applyFont="1" applyBorder="1" applyAlignment="1">
      <alignment horizontal="center" vertical="center"/>
    </xf>
    <xf numFmtId="0" fontId="33" fillId="0" borderId="1" xfId="0" quotePrefix="1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0" fontId="27" fillId="0" borderId="3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top" wrapText="1"/>
    </xf>
    <xf numFmtId="0" fontId="16" fillId="0" borderId="1" xfId="0" quotePrefix="1" applyFont="1" applyFill="1" applyBorder="1" applyAlignment="1">
      <alignment horizontal="center" vertical="center"/>
    </xf>
    <xf numFmtId="0" fontId="16" fillId="0" borderId="1" xfId="0" applyFont="1" applyFill="1" applyBorder="1"/>
    <xf numFmtId="0" fontId="13" fillId="0" borderId="0" xfId="0" applyFont="1"/>
    <xf numFmtId="0" fontId="14" fillId="0" borderId="5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3" fontId="34" fillId="0" borderId="1" xfId="1" applyNumberFormat="1" applyFont="1" applyFill="1" applyBorder="1" applyAlignment="1" applyProtection="1">
      <alignment horizontal="right" vertical="center"/>
    </xf>
    <xf numFmtId="168" fontId="34" fillId="0" borderId="1" xfId="1" applyNumberFormat="1" applyFont="1" applyFill="1" applyBorder="1" applyAlignment="1" applyProtection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28" fillId="0" borderId="4" xfId="0" applyFont="1" applyFill="1" applyBorder="1" applyAlignment="1">
      <alignment vertical="center"/>
    </xf>
    <xf numFmtId="165" fontId="28" fillId="0" borderId="4" xfId="1" applyNumberFormat="1" applyFont="1" applyFill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28" fillId="0" borderId="9" xfId="0" applyFont="1" applyBorder="1" applyAlignment="1">
      <alignment horizontal="center" vertical="center"/>
    </xf>
    <xf numFmtId="0" fontId="14" fillId="0" borderId="5" xfId="0" quotePrefix="1" applyFont="1" applyBorder="1" applyAlignment="1">
      <alignment horizontal="center" vertical="center"/>
    </xf>
    <xf numFmtId="43" fontId="28" fillId="0" borderId="1" xfId="1" applyFont="1" applyFill="1" applyBorder="1" applyAlignment="1">
      <alignment vertical="center"/>
    </xf>
    <xf numFmtId="43" fontId="31" fillId="0" borderId="1" xfId="1" applyFont="1" applyFill="1" applyBorder="1" applyAlignment="1">
      <alignment vertical="center"/>
    </xf>
    <xf numFmtId="0" fontId="31" fillId="0" borderId="5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/>
    </xf>
    <xf numFmtId="0" fontId="28" fillId="3" borderId="4" xfId="0" applyFont="1" applyFill="1" applyBorder="1"/>
    <xf numFmtId="165" fontId="28" fillId="3" borderId="4" xfId="1" applyNumberFormat="1" applyFont="1" applyFill="1" applyBorder="1" applyAlignment="1">
      <alignment vertical="center"/>
    </xf>
    <xf numFmtId="43" fontId="28" fillId="3" borderId="4" xfId="1" applyNumberFormat="1" applyFont="1" applyFill="1" applyBorder="1" applyAlignment="1">
      <alignment vertical="center"/>
    </xf>
    <xf numFmtId="0" fontId="28" fillId="3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165" fontId="14" fillId="3" borderId="4" xfId="1" applyNumberFormat="1" applyFont="1" applyFill="1" applyBorder="1" applyAlignment="1">
      <alignment vertical="center"/>
    </xf>
    <xf numFmtId="43" fontId="14" fillId="3" borderId="4" xfId="1" applyNumberFormat="1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/>
    </xf>
    <xf numFmtId="43" fontId="28" fillId="2" borderId="1" xfId="1" applyFont="1" applyFill="1" applyBorder="1" applyAlignment="1">
      <alignment vertical="center"/>
    </xf>
    <xf numFmtId="43" fontId="32" fillId="0" borderId="1" xfId="1" applyNumberFormat="1" applyFont="1" applyFill="1" applyBorder="1" applyAlignment="1">
      <alignment vertical="center"/>
    </xf>
    <xf numFmtId="164" fontId="32" fillId="0" borderId="1" xfId="1" applyNumberFormat="1" applyFont="1" applyFill="1" applyBorder="1" applyAlignment="1">
      <alignment vertical="center"/>
    </xf>
    <xf numFmtId="0" fontId="31" fillId="0" borderId="4" xfId="0" applyFont="1" applyBorder="1" applyAlignment="1">
      <alignment vertical="center"/>
    </xf>
    <xf numFmtId="164" fontId="31" fillId="0" borderId="1" xfId="1" applyNumberFormat="1" applyFont="1" applyFill="1" applyBorder="1" applyAlignment="1">
      <alignment vertical="center"/>
    </xf>
    <xf numFmtId="0" fontId="31" fillId="0" borderId="1" xfId="0" applyFont="1" applyBorder="1" applyAlignment="1">
      <alignment wrapText="1"/>
    </xf>
    <xf numFmtId="0" fontId="31" fillId="0" borderId="9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3" xfId="0" applyFont="1" applyFill="1" applyBorder="1"/>
    <xf numFmtId="0" fontId="1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3" fillId="0" borderId="0" xfId="0" applyFont="1"/>
    <xf numFmtId="0" fontId="26" fillId="0" borderId="0" xfId="0" applyFont="1"/>
    <xf numFmtId="0" fontId="13" fillId="0" borderId="1" xfId="0" applyFont="1" applyBorder="1" applyAlignment="1">
      <alignment horizontal="center"/>
    </xf>
    <xf numFmtId="0" fontId="28" fillId="0" borderId="5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/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/>
    <xf numFmtId="0" fontId="14" fillId="0" borderId="9" xfId="0" quotePrefix="1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wrapText="1"/>
    </xf>
    <xf numFmtId="165" fontId="14" fillId="3" borderId="1" xfId="1" applyNumberFormat="1" applyFont="1" applyFill="1" applyBorder="1" applyAlignment="1">
      <alignment vertical="center"/>
    </xf>
    <xf numFmtId="43" fontId="14" fillId="3" borderId="1" xfId="1" applyNumberFormat="1" applyFont="1" applyFill="1" applyBorder="1" applyAlignment="1">
      <alignment vertical="center"/>
    </xf>
    <xf numFmtId="0" fontId="14" fillId="0" borderId="3" xfId="0" quotePrefix="1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/>
    <xf numFmtId="165" fontId="14" fillId="0" borderId="0" xfId="1" applyNumberFormat="1" applyFont="1" applyFill="1" applyBorder="1" applyAlignment="1">
      <alignment vertical="center"/>
    </xf>
    <xf numFmtId="43" fontId="14" fillId="0" borderId="0" xfId="1" applyNumberFormat="1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vertical="center"/>
    </xf>
    <xf numFmtId="0" fontId="14" fillId="0" borderId="0" xfId="0" applyFont="1" applyFill="1" applyBorder="1"/>
    <xf numFmtId="0" fontId="14" fillId="0" borderId="0" xfId="0" quotePrefix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35" fillId="0" borderId="0" xfId="0" applyFont="1"/>
    <xf numFmtId="0" fontId="14" fillId="0" borderId="1" xfId="0" quotePrefix="1" applyFont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vertical="center" wrapText="1"/>
    </xf>
    <xf numFmtId="43" fontId="14" fillId="0" borderId="1" xfId="1" applyNumberFormat="1" applyFont="1" applyFill="1" applyBorder="1" applyAlignment="1">
      <alignment vertical="center" wrapText="1"/>
    </xf>
    <xf numFmtId="164" fontId="14" fillId="0" borderId="1" xfId="1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4" fillId="0" borderId="1" xfId="0" quotePrefix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4" fontId="28" fillId="0" borderId="1" xfId="1" applyNumberFormat="1" applyFont="1" applyFill="1" applyBorder="1" applyAlignment="1">
      <alignment vertical="center" wrapText="1"/>
    </xf>
    <xf numFmtId="165" fontId="26" fillId="0" borderId="0" xfId="1" applyNumberFormat="1" applyFont="1"/>
    <xf numFmtId="0" fontId="26" fillId="0" borderId="0" xfId="0" applyFont="1" applyFill="1"/>
    <xf numFmtId="0" fontId="36" fillId="0" borderId="0" xfId="0" applyFont="1"/>
    <xf numFmtId="0" fontId="36" fillId="0" borderId="1" xfId="0" applyFont="1" applyBorder="1" applyAlignment="1">
      <alignment horizontal="center"/>
    </xf>
    <xf numFmtId="164" fontId="36" fillId="0" borderId="1" xfId="1" applyNumberFormat="1" applyFont="1" applyBorder="1" applyAlignment="1">
      <alignment horizontal="center"/>
    </xf>
    <xf numFmtId="0" fontId="37" fillId="0" borderId="1" xfId="0" quotePrefix="1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7" fillId="0" borderId="1" xfId="0" applyFont="1" applyBorder="1" applyAlignment="1">
      <alignment horizontal="left"/>
    </xf>
    <xf numFmtId="165" fontId="37" fillId="0" borderId="1" xfId="0" applyNumberFormat="1" applyFont="1" applyBorder="1" applyAlignment="1">
      <alignment horizontal="center"/>
    </xf>
    <xf numFmtId="43" fontId="37" fillId="0" borderId="1" xfId="0" applyNumberFormat="1" applyFont="1" applyBorder="1" applyAlignment="1">
      <alignment horizontal="center"/>
    </xf>
    <xf numFmtId="43" fontId="37" fillId="0" borderId="1" xfId="1" applyNumberFormat="1" applyFont="1" applyBorder="1" applyAlignment="1">
      <alignment horizontal="center"/>
    </xf>
    <xf numFmtId="0" fontId="17" fillId="0" borderId="1" xfId="0" quotePrefix="1" applyFont="1" applyBorder="1" applyAlignment="1">
      <alignment horizontal="center"/>
    </xf>
    <xf numFmtId="165" fontId="17" fillId="0" borderId="1" xfId="1" applyNumberFormat="1" applyFont="1" applyBorder="1" applyAlignment="1">
      <alignment horizontal="left"/>
    </xf>
    <xf numFmtId="165" fontId="17" fillId="0" borderId="1" xfId="1" applyNumberFormat="1" applyFont="1" applyBorder="1"/>
    <xf numFmtId="43" fontId="17" fillId="0" borderId="1" xfId="1" applyNumberFormat="1" applyFont="1" applyBorder="1"/>
    <xf numFmtId="0" fontId="17" fillId="0" borderId="1" xfId="0" applyFont="1" applyBorder="1" applyAlignment="1">
      <alignment vertical="center"/>
    </xf>
    <xf numFmtId="0" fontId="37" fillId="0" borderId="1" xfId="0" applyFont="1" applyBorder="1" applyAlignment="1">
      <alignment horizontal="left" vertical="top" wrapText="1"/>
    </xf>
    <xf numFmtId="165" fontId="37" fillId="0" borderId="1" xfId="1" applyNumberFormat="1" applyFont="1" applyBorder="1"/>
    <xf numFmtId="43" fontId="37" fillId="0" borderId="1" xfId="1" applyNumberFormat="1" applyFont="1" applyBorder="1"/>
    <xf numFmtId="0" fontId="17" fillId="0" borderId="1" xfId="0" applyFont="1" applyBorder="1" applyAlignment="1">
      <alignment horizontal="left" vertical="top" wrapText="1"/>
    </xf>
    <xf numFmtId="165" fontId="37" fillId="0" borderId="1" xfId="1" applyNumberFormat="1" applyFont="1" applyBorder="1" applyAlignment="1">
      <alignment horizontal="left"/>
    </xf>
    <xf numFmtId="0" fontId="17" fillId="0" borderId="4" xfId="0" applyFont="1" applyBorder="1" applyAlignment="1">
      <alignment horizontal="center"/>
    </xf>
    <xf numFmtId="43" fontId="17" fillId="0" borderId="1" xfId="1" applyNumberFormat="1" applyFont="1" applyFill="1" applyBorder="1"/>
    <xf numFmtId="0" fontId="38" fillId="0" borderId="1" xfId="0" applyFont="1" applyBorder="1" applyAlignment="1">
      <alignment horizontal="left" vertical="top" wrapText="1"/>
    </xf>
    <xf numFmtId="165" fontId="38" fillId="0" borderId="1" xfId="1" applyNumberFormat="1" applyFont="1" applyBorder="1"/>
    <xf numFmtId="43" fontId="38" fillId="0" borderId="1" xfId="1" applyNumberFormat="1" applyFont="1" applyBorder="1"/>
    <xf numFmtId="165" fontId="17" fillId="0" borderId="1" xfId="1" applyNumberFormat="1" applyFont="1" applyFill="1" applyBorder="1"/>
    <xf numFmtId="0" fontId="37" fillId="0" borderId="1" xfId="0" applyFont="1" applyBorder="1"/>
    <xf numFmtId="0" fontId="38" fillId="0" borderId="1" xfId="0" applyFont="1" applyBorder="1"/>
    <xf numFmtId="0" fontId="17" fillId="0" borderId="1" xfId="0" applyFont="1" applyBorder="1"/>
    <xf numFmtId="49" fontId="17" fillId="0" borderId="1" xfId="0" applyNumberFormat="1" applyFont="1" applyBorder="1"/>
    <xf numFmtId="0" fontId="14" fillId="0" borderId="1" xfId="0" applyFont="1" applyBorder="1" applyAlignment="1">
      <alignment horizontal="left" vertical="top" wrapText="1"/>
    </xf>
    <xf numFmtId="43" fontId="37" fillId="0" borderId="1" xfId="1" applyFont="1" applyBorder="1"/>
    <xf numFmtId="0" fontId="3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43" fontId="13" fillId="0" borderId="1" xfId="1" applyFont="1" applyBorder="1" applyAlignment="1">
      <alignment vertical="center"/>
    </xf>
    <xf numFmtId="166" fontId="13" fillId="0" borderId="1" xfId="0" applyNumberFormat="1" applyFont="1" applyBorder="1" applyAlignment="1">
      <alignment horizontal="center" vertical="center"/>
    </xf>
    <xf numFmtId="43" fontId="15" fillId="0" borderId="1" xfId="1" applyFont="1" applyBorder="1" applyAlignment="1">
      <alignment vertical="center"/>
    </xf>
    <xf numFmtId="166" fontId="15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165" fontId="13" fillId="0" borderId="1" xfId="1" applyNumberFormat="1" applyFont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165" fontId="15" fillId="0" borderId="1" xfId="0" applyNumberFormat="1" applyFont="1" applyBorder="1" applyAlignment="1">
      <alignment vertical="center"/>
    </xf>
    <xf numFmtId="165" fontId="13" fillId="0" borderId="0" xfId="0" applyNumberFormat="1" applyFont="1"/>
    <xf numFmtId="0" fontId="13" fillId="3" borderId="1" xfId="0" applyFont="1" applyFill="1" applyBorder="1"/>
    <xf numFmtId="165" fontId="13" fillId="0" borderId="1" xfId="1" applyNumberFormat="1" applyFont="1" applyBorder="1"/>
    <xf numFmtId="0" fontId="23" fillId="0" borderId="1" xfId="0" applyFont="1" applyBorder="1" applyAlignment="1">
      <alignment horizontal="center" vertical="center"/>
    </xf>
    <xf numFmtId="166" fontId="15" fillId="0" borderId="1" xfId="0" applyNumberFormat="1" applyFont="1" applyBorder="1"/>
    <xf numFmtId="0" fontId="13" fillId="0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0" fillId="3" borderId="0" xfId="0" applyFill="1"/>
    <xf numFmtId="0" fontId="41" fillId="0" borderId="0" xfId="0" applyFont="1" applyAlignment="1">
      <alignment horizontal="right"/>
    </xf>
    <xf numFmtId="0" fontId="40" fillId="0" borderId="1" xfId="0" applyFont="1" applyFill="1" applyBorder="1" applyAlignment="1">
      <alignment horizontal="center" vertical="center"/>
    </xf>
    <xf numFmtId="165" fontId="15" fillId="0" borderId="1" xfId="1" applyNumberFormat="1" applyFont="1" applyBorder="1" applyAlignment="1">
      <alignment vertical="center"/>
    </xf>
    <xf numFmtId="0" fontId="13" fillId="0" borderId="14" xfId="0" applyFont="1" applyBorder="1" applyAlignment="1">
      <alignment wrapText="1"/>
    </xf>
    <xf numFmtId="0" fontId="13" fillId="0" borderId="10" xfId="0" applyFont="1" applyBorder="1" applyAlignment="1">
      <alignment horizontal="center"/>
    </xf>
    <xf numFmtId="166" fontId="15" fillId="0" borderId="1" xfId="0" applyNumberFormat="1" applyFont="1" applyFill="1" applyBorder="1"/>
    <xf numFmtId="0" fontId="13" fillId="0" borderId="15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" xfId="0" applyFont="1" applyBorder="1" applyAlignment="1">
      <alignment horizontal="left"/>
    </xf>
    <xf numFmtId="0" fontId="19" fillId="0" borderId="5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3" xfId="0" applyFont="1" applyBorder="1" applyAlignment="1">
      <alignment horizontal="center" vertical="center"/>
    </xf>
    <xf numFmtId="0" fontId="22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28" fillId="0" borderId="1" xfId="0" applyFont="1" applyBorder="1" applyAlignment="1">
      <alignment horizontal="center" vertical="center"/>
    </xf>
    <xf numFmtId="43" fontId="16" fillId="0" borderId="1" xfId="1" applyFont="1" applyBorder="1"/>
    <xf numFmtId="43" fontId="18" fillId="0" borderId="1" xfId="1" applyFont="1" applyFill="1" applyBorder="1"/>
    <xf numFmtId="43" fontId="16" fillId="0" borderId="8" xfId="1" applyFont="1" applyBorder="1"/>
    <xf numFmtId="43" fontId="15" fillId="0" borderId="1" xfId="1" applyFont="1" applyBorder="1"/>
    <xf numFmtId="43" fontId="22" fillId="0" borderId="1" xfId="1" applyFont="1" applyBorder="1"/>
    <xf numFmtId="43" fontId="18" fillId="0" borderId="8" xfId="1" applyFont="1" applyBorder="1"/>
    <xf numFmtId="43" fontId="16" fillId="0" borderId="1" xfId="1" applyFont="1" applyBorder="1" applyAlignment="1">
      <alignment horizontal="center"/>
    </xf>
    <xf numFmtId="43" fontId="18" fillId="0" borderId="1" xfId="1" applyFont="1" applyBorder="1" applyAlignment="1">
      <alignment horizontal="center"/>
    </xf>
    <xf numFmtId="164" fontId="17" fillId="0" borderId="1" xfId="1" applyNumberFormat="1" applyFont="1" applyBorder="1" applyAlignment="1">
      <alignment horizontal="center"/>
    </xf>
    <xf numFmtId="43" fontId="17" fillId="0" borderId="8" xfId="1" applyNumberFormat="1" applyFont="1" applyBorder="1"/>
    <xf numFmtId="0" fontId="37" fillId="0" borderId="2" xfId="0" quotePrefix="1" applyFont="1" applyBorder="1" applyAlignment="1">
      <alignment horizontal="center"/>
    </xf>
    <xf numFmtId="43" fontId="37" fillId="0" borderId="8" xfId="1" applyNumberFormat="1" applyFont="1" applyBorder="1"/>
    <xf numFmtId="0" fontId="17" fillId="0" borderId="3" xfId="0" quotePrefix="1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37" fillId="0" borderId="3" xfId="0" quotePrefix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165" fontId="42" fillId="0" borderId="1" xfId="1" applyNumberFormat="1" applyFont="1" applyBorder="1"/>
    <xf numFmtId="0" fontId="38" fillId="0" borderId="3" xfId="0" applyFont="1" applyBorder="1" applyAlignment="1">
      <alignment horizontal="center"/>
    </xf>
    <xf numFmtId="0" fontId="37" fillId="0" borderId="2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17" fillId="0" borderId="3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/>
    </xf>
    <xf numFmtId="0" fontId="37" fillId="0" borderId="3" xfId="0" applyFont="1" applyBorder="1" applyAlignment="1">
      <alignment horizontal="left" vertical="top" wrapText="1"/>
    </xf>
    <xf numFmtId="165" fontId="37" fillId="0" borderId="1" xfId="1" applyNumberFormat="1" applyFont="1" applyBorder="1" applyAlignment="1">
      <alignment vertical="top"/>
    </xf>
    <xf numFmtId="43" fontId="37" fillId="0" borderId="1" xfId="1" applyNumberFormat="1" applyFont="1" applyBorder="1" applyAlignment="1">
      <alignment vertical="top"/>
    </xf>
    <xf numFmtId="164" fontId="17" fillId="0" borderId="1" xfId="1" applyNumberFormat="1" applyFont="1" applyBorder="1" applyAlignment="1">
      <alignment horizontal="center" vertical="top"/>
    </xf>
    <xf numFmtId="0" fontId="37" fillId="0" borderId="6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37" fillId="0" borderId="5" xfId="0" applyFont="1" applyBorder="1" applyAlignment="1">
      <alignment horizontal="center"/>
    </xf>
    <xf numFmtId="43" fontId="17" fillId="0" borderId="2" xfId="1" applyNumberFormat="1" applyFont="1" applyBorder="1"/>
    <xf numFmtId="43" fontId="17" fillId="0" borderId="10" xfId="1" applyNumberFormat="1" applyFont="1" applyBorder="1"/>
    <xf numFmtId="165" fontId="17" fillId="0" borderId="8" xfId="1" applyNumberFormat="1" applyFont="1" applyBorder="1"/>
    <xf numFmtId="165" fontId="37" fillId="0" borderId="8" xfId="1" applyNumberFormat="1" applyFont="1" applyBorder="1"/>
    <xf numFmtId="0" fontId="17" fillId="0" borderId="3" xfId="0" applyFont="1" applyBorder="1" applyAlignment="1">
      <alignment horizontal="center" vertical="top"/>
    </xf>
    <xf numFmtId="165" fontId="17" fillId="0" borderId="1" xfId="1" applyNumberFormat="1" applyFont="1" applyBorder="1" applyAlignment="1">
      <alignment vertical="top"/>
    </xf>
    <xf numFmtId="43" fontId="17" fillId="0" borderId="1" xfId="1" applyNumberFormat="1" applyFont="1" applyBorder="1" applyAlignment="1">
      <alignment vertical="top"/>
    </xf>
    <xf numFmtId="43" fontId="17" fillId="0" borderId="1" xfId="1" applyNumberFormat="1" applyFont="1" applyFill="1" applyBorder="1" applyAlignment="1">
      <alignment vertical="top"/>
    </xf>
    <xf numFmtId="43" fontId="17" fillId="0" borderId="8" xfId="1" applyNumberFormat="1" applyFont="1" applyBorder="1" applyAlignment="1">
      <alignment vertical="top"/>
    </xf>
    <xf numFmtId="0" fontId="13" fillId="0" borderId="1" xfId="0" applyFont="1" applyBorder="1"/>
    <xf numFmtId="0" fontId="15" fillId="0" borderId="1" xfId="0" applyFont="1" applyBorder="1"/>
    <xf numFmtId="165" fontId="15" fillId="0" borderId="1" xfId="1" applyNumberFormat="1" applyFont="1" applyBorder="1"/>
    <xf numFmtId="165" fontId="15" fillId="0" borderId="1" xfId="0" applyNumberFormat="1" applyFont="1" applyBorder="1"/>
    <xf numFmtId="0" fontId="13" fillId="0" borderId="1" xfId="0" quotePrefix="1" applyFont="1" applyBorder="1" applyAlignment="1">
      <alignment horizontal="center"/>
    </xf>
    <xf numFmtId="0" fontId="25" fillId="0" borderId="0" xfId="0" applyFont="1" applyAlignment="1">
      <alignment wrapText="1"/>
    </xf>
    <xf numFmtId="0" fontId="25" fillId="0" borderId="0" xfId="0" applyFont="1" applyAlignment="1">
      <alignment vertical="top" wrapText="1"/>
    </xf>
    <xf numFmtId="0" fontId="0" fillId="0" borderId="1" xfId="0" applyBorder="1"/>
    <xf numFmtId="43" fontId="0" fillId="0" borderId="1" xfId="1" applyFont="1" applyBorder="1"/>
    <xf numFmtId="164" fontId="28" fillId="0" borderId="1" xfId="1" applyNumberFormat="1" applyFont="1" applyBorder="1"/>
    <xf numFmtId="164" fontId="14" fillId="0" borderId="1" xfId="1" applyNumberFormat="1" applyFont="1" applyBorder="1"/>
    <xf numFmtId="165" fontId="13" fillId="0" borderId="1" xfId="0" applyNumberFormat="1" applyFont="1" applyBorder="1"/>
    <xf numFmtId="0" fontId="15" fillId="0" borderId="1" xfId="0" quotePrefix="1" applyFont="1" applyBorder="1" applyAlignment="1">
      <alignment horizontal="center"/>
    </xf>
    <xf numFmtId="43" fontId="15" fillId="0" borderId="1" xfId="1" applyFont="1" applyFill="1" applyBorder="1"/>
    <xf numFmtId="43" fontId="42" fillId="0" borderId="1" xfId="1" applyNumberFormat="1" applyFont="1" applyBorder="1"/>
    <xf numFmtId="43" fontId="42" fillId="0" borderId="8" xfId="1" applyNumberFormat="1" applyFont="1" applyBorder="1"/>
    <xf numFmtId="164" fontId="42" fillId="0" borderId="1" xfId="1" applyNumberFormat="1" applyFont="1" applyBorder="1" applyAlignment="1">
      <alignment horizontal="center"/>
    </xf>
    <xf numFmtId="43" fontId="13" fillId="0" borderId="1" xfId="1" applyFont="1" applyFill="1" applyBorder="1" applyAlignment="1">
      <alignment vertical="center"/>
    </xf>
    <xf numFmtId="166" fontId="13" fillId="0" borderId="1" xfId="0" applyNumberFormat="1" applyFont="1" applyFill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166" fontId="13" fillId="0" borderId="1" xfId="0" applyNumberFormat="1" applyFont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165" fontId="13" fillId="0" borderId="0" xfId="1" applyNumberFormat="1" applyFont="1"/>
    <xf numFmtId="165" fontId="13" fillId="0" borderId="1" xfId="1" applyNumberFormat="1" applyFont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65" fontId="23" fillId="0" borderId="1" xfId="1" applyNumberFormat="1" applyFont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/>
    <xf numFmtId="0" fontId="18" fillId="0" borderId="12" xfId="0" quotePrefix="1" applyFont="1" applyBorder="1" applyAlignment="1">
      <alignment horizontal="center" vertical="center"/>
    </xf>
    <xf numFmtId="43" fontId="33" fillId="0" borderId="1" xfId="1" applyFont="1" applyFill="1" applyBorder="1" applyAlignment="1">
      <alignment horizontal="right"/>
    </xf>
    <xf numFmtId="43" fontId="18" fillId="0" borderId="1" xfId="1" applyFont="1" applyFill="1" applyBorder="1" applyAlignment="1">
      <alignment horizontal="right"/>
    </xf>
    <xf numFmtId="165" fontId="27" fillId="0" borderId="1" xfId="1" applyNumberFormat="1" applyFont="1" applyFill="1" applyBorder="1" applyAlignment="1">
      <alignment horizontal="right"/>
    </xf>
    <xf numFmtId="0" fontId="27" fillId="0" borderId="1" xfId="0" applyFont="1" applyBorder="1" applyAlignment="1">
      <alignment horizontal="left" vertical="top" wrapText="1"/>
    </xf>
    <xf numFmtId="0" fontId="37" fillId="2" borderId="1" xfId="0" quotePrefix="1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left"/>
    </xf>
    <xf numFmtId="165" fontId="37" fillId="2" borderId="1" xfId="1" applyNumberFormat="1" applyFont="1" applyFill="1" applyBorder="1" applyAlignment="1">
      <alignment horizontal="right"/>
    </xf>
    <xf numFmtId="43" fontId="37" fillId="2" borderId="1" xfId="1" applyFont="1" applyFill="1" applyBorder="1" applyAlignment="1">
      <alignment horizontal="right"/>
    </xf>
    <xf numFmtId="0" fontId="17" fillId="0" borderId="1" xfId="0" applyFont="1" applyBorder="1" applyAlignment="1">
      <alignment horizontal="center" vertical="center"/>
    </xf>
    <xf numFmtId="165" fontId="17" fillId="0" borderId="1" xfId="1" applyNumberFormat="1" applyFont="1" applyFill="1" applyBorder="1" applyAlignment="1">
      <alignment horizontal="right"/>
    </xf>
    <xf numFmtId="0" fontId="17" fillId="0" borderId="1" xfId="0" quotePrefix="1" applyFont="1" applyBorder="1" applyAlignment="1">
      <alignment horizontal="center" vertical="center"/>
    </xf>
    <xf numFmtId="0" fontId="37" fillId="2" borderId="1" xfId="0" quotePrefix="1" applyFont="1" applyFill="1" applyBorder="1" applyAlignment="1">
      <alignment horizontal="center" vertical="center"/>
    </xf>
    <xf numFmtId="0" fontId="37" fillId="2" borderId="1" xfId="0" applyFont="1" applyFill="1" applyBorder="1"/>
    <xf numFmtId="0" fontId="37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wrapText="1"/>
    </xf>
    <xf numFmtId="0" fontId="37" fillId="2" borderId="2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 vertical="top" wrapText="1"/>
    </xf>
    <xf numFmtId="0" fontId="37" fillId="0" borderId="12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horizontal="left" vertical="top" wrapText="1"/>
    </xf>
    <xf numFmtId="0" fontId="38" fillId="0" borderId="12" xfId="0" quotePrefix="1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left" vertical="top" wrapText="1"/>
    </xf>
    <xf numFmtId="165" fontId="38" fillId="0" borderId="4" xfId="1" applyNumberFormat="1" applyFont="1" applyFill="1" applyBorder="1" applyAlignment="1">
      <alignment horizontal="right"/>
    </xf>
    <xf numFmtId="0" fontId="42" fillId="0" borderId="4" xfId="0" applyFont="1" applyFill="1" applyBorder="1" applyAlignment="1">
      <alignment horizontal="left" vertical="top" wrapText="1"/>
    </xf>
    <xf numFmtId="0" fontId="17" fillId="0" borderId="3" xfId="0" quotePrefix="1" applyFont="1" applyBorder="1" applyAlignment="1">
      <alignment horizontal="center" vertical="center"/>
    </xf>
    <xf numFmtId="0" fontId="17" fillId="0" borderId="12" xfId="0" quotePrefix="1" applyFont="1" applyBorder="1" applyAlignment="1">
      <alignment horizontal="center" vertical="center"/>
    </xf>
    <xf numFmtId="0" fontId="17" fillId="0" borderId="12" xfId="0" applyFont="1" applyBorder="1" applyAlignment="1">
      <alignment horizontal="center"/>
    </xf>
    <xf numFmtId="0" fontId="17" fillId="0" borderId="4" xfId="0" applyFont="1" applyBorder="1" applyAlignment="1">
      <alignment horizontal="left" vertical="center" wrapText="1"/>
    </xf>
    <xf numFmtId="165" fontId="17" fillId="0" borderId="4" xfId="1" applyNumberFormat="1" applyFont="1" applyFill="1" applyBorder="1" applyAlignment="1">
      <alignment horizontal="right"/>
    </xf>
    <xf numFmtId="0" fontId="37" fillId="2" borderId="4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165" fontId="42" fillId="0" borderId="1" xfId="1" applyNumberFormat="1" applyFont="1" applyFill="1" applyBorder="1" applyAlignment="1">
      <alignment horizontal="right"/>
    </xf>
    <xf numFmtId="0" fontId="42" fillId="0" borderId="1" xfId="0" applyFont="1" applyBorder="1"/>
    <xf numFmtId="0" fontId="42" fillId="0" borderId="1" xfId="0" applyFont="1" applyBorder="1" applyAlignment="1">
      <alignment horizontal="left" vertical="top" wrapText="1"/>
    </xf>
    <xf numFmtId="165" fontId="38" fillId="0" borderId="1" xfId="1" applyNumberFormat="1" applyFont="1" applyFill="1" applyBorder="1" applyAlignment="1">
      <alignment horizontal="right"/>
    </xf>
    <xf numFmtId="0" fontId="17" fillId="0" borderId="9" xfId="0" applyFont="1" applyBorder="1" applyAlignment="1">
      <alignment horizontal="center" vertical="center"/>
    </xf>
    <xf numFmtId="43" fontId="17" fillId="0" borderId="1" xfId="1" applyFont="1" applyFill="1" applyBorder="1" applyAlignment="1">
      <alignment horizontal="right"/>
    </xf>
    <xf numFmtId="43" fontId="38" fillId="0" borderId="1" xfId="1" applyFont="1" applyFill="1" applyBorder="1" applyAlignment="1">
      <alignment horizontal="right"/>
    </xf>
    <xf numFmtId="0" fontId="42" fillId="2" borderId="4" xfId="0" applyFont="1" applyFill="1" applyBorder="1" applyAlignment="1">
      <alignment horizontal="center" vertical="center"/>
    </xf>
    <xf numFmtId="0" fontId="42" fillId="2" borderId="1" xfId="0" quotePrefix="1" applyFont="1" applyFill="1" applyBorder="1" applyAlignment="1">
      <alignment horizontal="center" vertical="center"/>
    </xf>
    <xf numFmtId="164" fontId="43" fillId="2" borderId="1" xfId="1" applyNumberFormat="1" applyFont="1" applyFill="1" applyBorder="1" applyAlignment="1">
      <alignment horizontal="right"/>
    </xf>
    <xf numFmtId="164" fontId="23" fillId="0" borderId="1" xfId="1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vertical="top" wrapText="1"/>
    </xf>
    <xf numFmtId="3" fontId="28" fillId="0" borderId="1" xfId="0" applyNumberFormat="1" applyFont="1" applyBorder="1" applyAlignment="1">
      <alignment horizontal="right"/>
    </xf>
    <xf numFmtId="4" fontId="28" fillId="0" borderId="1" xfId="1" applyNumberFormat="1" applyFont="1" applyBorder="1"/>
    <xf numFmtId="0" fontId="14" fillId="0" borderId="1" xfId="0" applyFont="1" applyBorder="1" applyAlignment="1">
      <alignment vertical="top" wrapText="1"/>
    </xf>
    <xf numFmtId="3" fontId="14" fillId="0" borderId="1" xfId="0" applyNumberFormat="1" applyFont="1" applyBorder="1" applyAlignment="1">
      <alignment horizontal="right"/>
    </xf>
    <xf numFmtId="4" fontId="14" fillId="0" borderId="1" xfId="1" applyNumberFormat="1" applyFont="1" applyBorder="1"/>
    <xf numFmtId="4" fontId="14" fillId="0" borderId="1" xfId="1" applyNumberFormat="1" applyFont="1" applyFill="1" applyBorder="1" applyAlignment="1">
      <alignment horizontal="right"/>
    </xf>
    <xf numFmtId="0" fontId="28" fillId="0" borderId="4" xfId="0" applyFont="1" applyBorder="1" applyAlignment="1">
      <alignment horizontal="center"/>
    </xf>
    <xf numFmtId="4" fontId="28" fillId="0" borderId="1" xfId="0" applyNumberFormat="1" applyFont="1" applyBorder="1" applyAlignment="1">
      <alignment horizontal="right"/>
    </xf>
    <xf numFmtId="4" fontId="14" fillId="0" borderId="1" xfId="0" applyNumberFormat="1" applyFont="1" applyBorder="1" applyAlignment="1">
      <alignment wrapText="1"/>
    </xf>
    <xf numFmtId="4" fontId="28" fillId="0" borderId="1" xfId="0" applyNumberFormat="1" applyFont="1" applyBorder="1" applyAlignment="1">
      <alignment wrapText="1"/>
    </xf>
    <xf numFmtId="3" fontId="28" fillId="0" borderId="1" xfId="0" applyNumberFormat="1" applyFont="1" applyBorder="1" applyAlignment="1">
      <alignment horizontal="right" wrapText="1"/>
    </xf>
    <xf numFmtId="164" fontId="45" fillId="0" borderId="1" xfId="1" applyNumberFormat="1" applyFont="1" applyBorder="1" applyAlignment="1">
      <alignment horizontal="center"/>
    </xf>
    <xf numFmtId="43" fontId="22" fillId="0" borderId="1" xfId="1" applyFont="1" applyFill="1" applyBorder="1" applyAlignment="1">
      <alignment horizontal="right"/>
    </xf>
    <xf numFmtId="164" fontId="23" fillId="0" borderId="1" xfId="1" applyNumberFormat="1" applyFont="1" applyBorder="1" applyAlignment="1">
      <alignment horizontal="right"/>
    </xf>
    <xf numFmtId="0" fontId="33" fillId="3" borderId="1" xfId="0" applyFont="1" applyFill="1" applyBorder="1" applyAlignment="1">
      <alignment horizontal="left" vertical="top" wrapText="1"/>
    </xf>
    <xf numFmtId="4" fontId="28" fillId="0" borderId="1" xfId="1" applyNumberFormat="1" applyFont="1" applyFill="1" applyBorder="1" applyAlignment="1">
      <alignment horizontal="right"/>
    </xf>
    <xf numFmtId="0" fontId="17" fillId="0" borderId="1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38" fillId="0" borderId="1" xfId="0" quotePrefix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top" wrapText="1"/>
    </xf>
    <xf numFmtId="0" fontId="38" fillId="0" borderId="1" xfId="0" applyFont="1" applyFill="1" applyBorder="1" applyAlignment="1">
      <alignment horizontal="left" vertical="top" wrapText="1"/>
    </xf>
    <xf numFmtId="0" fontId="17" fillId="0" borderId="4" xfId="0" quotePrefix="1" applyFont="1" applyBorder="1" applyAlignment="1">
      <alignment horizontal="center" vertical="center"/>
    </xf>
    <xf numFmtId="0" fontId="17" fillId="0" borderId="4" xfId="0" applyFont="1" applyBorder="1"/>
    <xf numFmtId="43" fontId="17" fillId="0" borderId="4" xfId="1" applyFont="1" applyFill="1" applyBorder="1" applyAlignment="1">
      <alignment horizontal="right"/>
    </xf>
    <xf numFmtId="43" fontId="38" fillId="0" borderId="4" xfId="1" applyFont="1" applyFill="1" applyBorder="1" applyAlignment="1">
      <alignment horizontal="right"/>
    </xf>
    <xf numFmtId="43" fontId="0" fillId="0" borderId="0" xfId="1" applyFont="1"/>
    <xf numFmtId="165" fontId="14" fillId="0" borderId="1" xfId="1" applyNumberFormat="1" applyFont="1" applyFill="1" applyBorder="1" applyAlignment="1">
      <alignment horizontal="right"/>
    </xf>
    <xf numFmtId="43" fontId="14" fillId="0" borderId="1" xfId="1" applyFont="1" applyFill="1" applyBorder="1" applyAlignment="1">
      <alignment horizontal="right"/>
    </xf>
    <xf numFmtId="0" fontId="14" fillId="0" borderId="1" xfId="0" applyFont="1" applyFill="1" applyBorder="1" applyAlignment="1">
      <alignment horizontal="left" vertical="top" wrapText="1"/>
    </xf>
    <xf numFmtId="165" fontId="28" fillId="0" borderId="1" xfId="1" applyNumberFormat="1" applyFont="1" applyFill="1" applyBorder="1" applyAlignment="1">
      <alignment horizontal="right"/>
    </xf>
    <xf numFmtId="0" fontId="14" fillId="0" borderId="0" xfId="0" applyFont="1" applyBorder="1" applyAlignment="1">
      <alignment horizontal="left" vertical="top" wrapText="1"/>
    </xf>
    <xf numFmtId="165" fontId="14" fillId="0" borderId="0" xfId="1" applyNumberFormat="1" applyFont="1" applyFill="1" applyBorder="1" applyAlignment="1">
      <alignment horizontal="right"/>
    </xf>
    <xf numFmtId="43" fontId="14" fillId="0" borderId="0" xfId="1" applyFont="1" applyFill="1" applyBorder="1" applyAlignment="1">
      <alignment horizontal="right"/>
    </xf>
    <xf numFmtId="165" fontId="14" fillId="0" borderId="1" xfId="0" applyNumberFormat="1" applyFont="1" applyBorder="1"/>
    <xf numFmtId="43" fontId="14" fillId="0" borderId="1" xfId="0" applyNumberFormat="1" applyFont="1" applyBorder="1"/>
    <xf numFmtId="165" fontId="14" fillId="0" borderId="0" xfId="0" applyNumberFormat="1" applyFont="1"/>
    <xf numFmtId="43" fontId="14" fillId="0" borderId="0" xfId="0" applyNumberFormat="1" applyFont="1"/>
    <xf numFmtId="0" fontId="13" fillId="0" borderId="0" xfId="0" applyFont="1" applyAlignment="1">
      <alignment horizontal="right"/>
    </xf>
    <xf numFmtId="0" fontId="13" fillId="0" borderId="0" xfId="0" applyFont="1"/>
    <xf numFmtId="166" fontId="14" fillId="0" borderId="1" xfId="0" applyNumberFormat="1" applyFont="1" applyBorder="1"/>
    <xf numFmtId="0" fontId="35" fillId="0" borderId="1" xfId="0" applyFont="1" applyBorder="1" applyAlignment="1">
      <alignment horizontal="center"/>
    </xf>
    <xf numFmtId="0" fontId="14" fillId="3" borderId="1" xfId="0" quotePrefix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1" applyNumberFormat="1" applyFont="1" applyFill="1" applyBorder="1" applyAlignment="1">
      <alignment horizontal="right"/>
    </xf>
    <xf numFmtId="43" fontId="14" fillId="3" borderId="1" xfId="1" applyFont="1" applyFill="1" applyBorder="1" applyAlignment="1">
      <alignment horizontal="right"/>
    </xf>
    <xf numFmtId="166" fontId="14" fillId="0" borderId="4" xfId="0" applyNumberFormat="1" applyFont="1" applyBorder="1"/>
    <xf numFmtId="166" fontId="14" fillId="0" borderId="0" xfId="0" applyNumberFormat="1" applyFont="1" applyBorder="1"/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9" fillId="0" borderId="0" xfId="0" applyFont="1" applyAlignment="1">
      <alignment horizontal="right" wrapText="1"/>
    </xf>
    <xf numFmtId="0" fontId="17" fillId="0" borderId="1" xfId="0" applyFont="1" applyBorder="1" applyAlignment="1">
      <alignment horizontal="left" wrapText="1"/>
    </xf>
    <xf numFmtId="165" fontId="37" fillId="2" borderId="1" xfId="1" applyNumberFormat="1" applyFont="1" applyFill="1" applyBorder="1" applyAlignment="1">
      <alignment horizontal="right" vertical="center"/>
    </xf>
    <xf numFmtId="43" fontId="37" fillId="2" borderId="1" xfId="1" applyFont="1" applyFill="1" applyBorder="1" applyAlignment="1">
      <alignment horizontal="right" vertical="center"/>
    </xf>
    <xf numFmtId="164" fontId="43" fillId="2" borderId="1" xfId="1" applyNumberFormat="1" applyFont="1" applyFill="1" applyBorder="1" applyAlignment="1">
      <alignment horizontal="right" vertical="center"/>
    </xf>
    <xf numFmtId="165" fontId="17" fillId="0" borderId="1" xfId="1" applyNumberFormat="1" applyFont="1" applyFill="1" applyBorder="1" applyAlignment="1">
      <alignment horizontal="left" vertical="center"/>
    </xf>
    <xf numFmtId="43" fontId="17" fillId="0" borderId="1" xfId="1" applyNumberFormat="1" applyFont="1" applyFill="1" applyBorder="1" applyAlignment="1">
      <alignment horizontal="right" vertical="center"/>
    </xf>
    <xf numFmtId="164" fontId="36" fillId="0" borderId="1" xfId="1" applyNumberFormat="1" applyFont="1" applyBorder="1" applyAlignment="1">
      <alignment horizontal="right" vertical="center"/>
    </xf>
    <xf numFmtId="165" fontId="17" fillId="0" borderId="1" xfId="1" applyNumberFormat="1" applyFont="1" applyFill="1" applyBorder="1" applyAlignment="1">
      <alignment horizontal="right" vertical="center"/>
    </xf>
    <xf numFmtId="43" fontId="17" fillId="0" borderId="10" xfId="1" applyNumberFormat="1" applyFont="1" applyBorder="1" applyAlignment="1">
      <alignment vertical="center"/>
    </xf>
    <xf numFmtId="43" fontId="37" fillId="2" borderId="1" xfId="1" applyNumberFormat="1" applyFont="1" applyFill="1" applyBorder="1" applyAlignment="1">
      <alignment horizontal="right" vertical="center"/>
    </xf>
    <xf numFmtId="165" fontId="42" fillId="2" borderId="1" xfId="1" applyNumberFormat="1" applyFont="1" applyFill="1" applyBorder="1" applyAlignment="1">
      <alignment horizontal="right" vertical="center"/>
    </xf>
    <xf numFmtId="43" fontId="42" fillId="2" borderId="1" xfId="1" applyNumberFormat="1" applyFont="1" applyFill="1" applyBorder="1" applyAlignment="1">
      <alignment horizontal="right" vertical="center"/>
    </xf>
    <xf numFmtId="164" fontId="36" fillId="2" borderId="1" xfId="1" applyNumberFormat="1" applyFont="1" applyFill="1" applyBorder="1" applyAlignment="1">
      <alignment horizontal="right" vertical="center"/>
    </xf>
    <xf numFmtId="165" fontId="37" fillId="0" borderId="1" xfId="1" applyNumberFormat="1" applyFont="1" applyFill="1" applyBorder="1" applyAlignment="1">
      <alignment horizontal="right" vertical="center"/>
    </xf>
    <xf numFmtId="43" fontId="37" fillId="0" borderId="1" xfId="1" applyFont="1" applyFill="1" applyBorder="1" applyAlignment="1">
      <alignment horizontal="right" vertical="center"/>
    </xf>
    <xf numFmtId="165" fontId="37" fillId="0" borderId="4" xfId="1" applyNumberFormat="1" applyFont="1" applyFill="1" applyBorder="1" applyAlignment="1">
      <alignment horizontal="right" vertical="center"/>
    </xf>
    <xf numFmtId="43" fontId="37" fillId="0" borderId="4" xfId="1" applyFont="1" applyFill="1" applyBorder="1" applyAlignment="1">
      <alignment horizontal="right" vertical="center"/>
    </xf>
    <xf numFmtId="164" fontId="43" fillId="0" borderId="1" xfId="1" applyNumberFormat="1" applyFont="1" applyBorder="1" applyAlignment="1">
      <alignment horizontal="right" vertical="center"/>
    </xf>
    <xf numFmtId="165" fontId="38" fillId="0" borderId="4" xfId="1" applyNumberFormat="1" applyFont="1" applyFill="1" applyBorder="1" applyAlignment="1">
      <alignment horizontal="right" vertical="center"/>
    </xf>
    <xf numFmtId="43" fontId="38" fillId="0" borderId="4" xfId="1" applyNumberFormat="1" applyFont="1" applyFill="1" applyBorder="1" applyAlignment="1">
      <alignment horizontal="right" vertical="center"/>
    </xf>
    <xf numFmtId="165" fontId="42" fillId="0" borderId="4" xfId="1" applyNumberFormat="1" applyFont="1" applyFill="1" applyBorder="1" applyAlignment="1">
      <alignment horizontal="right" vertical="center"/>
    </xf>
    <xf numFmtId="43" fontId="42" fillId="0" borderId="4" xfId="1" applyFont="1" applyFill="1" applyBorder="1" applyAlignment="1">
      <alignment horizontal="right" vertical="center"/>
    </xf>
    <xf numFmtId="165" fontId="17" fillId="0" borderId="4" xfId="1" applyNumberFormat="1" applyFont="1" applyFill="1" applyBorder="1" applyAlignment="1">
      <alignment horizontal="right" vertical="center"/>
    </xf>
    <xf numFmtId="43" fontId="17" fillId="0" borderId="4" xfId="1" applyNumberFormat="1" applyFont="1" applyFill="1" applyBorder="1" applyAlignment="1">
      <alignment horizontal="right" vertical="center"/>
    </xf>
    <xf numFmtId="165" fontId="42" fillId="0" borderId="1" xfId="1" applyNumberFormat="1" applyFont="1" applyFill="1" applyBorder="1" applyAlignment="1">
      <alignment horizontal="right" vertical="center"/>
    </xf>
    <xf numFmtId="43" fontId="42" fillId="0" borderId="1" xfId="1" applyFont="1" applyFill="1" applyBorder="1" applyAlignment="1">
      <alignment horizontal="right" vertical="center"/>
    </xf>
    <xf numFmtId="165" fontId="38" fillId="0" borderId="1" xfId="1" applyNumberFormat="1" applyFont="1" applyFill="1" applyBorder="1" applyAlignment="1">
      <alignment horizontal="right" vertical="center"/>
    </xf>
    <xf numFmtId="43" fontId="38" fillId="0" borderId="1" xfId="1" applyNumberFormat="1" applyFont="1" applyFill="1" applyBorder="1" applyAlignment="1">
      <alignment horizontal="right" vertical="center"/>
    </xf>
    <xf numFmtId="43" fontId="42" fillId="0" borderId="1" xfId="1" applyNumberFormat="1" applyFont="1" applyFill="1" applyBorder="1" applyAlignment="1">
      <alignment horizontal="right" vertical="center"/>
    </xf>
    <xf numFmtId="43" fontId="17" fillId="0" borderId="1" xfId="1" applyFont="1" applyFill="1" applyBorder="1" applyAlignment="1">
      <alignment horizontal="right" vertical="center"/>
    </xf>
    <xf numFmtId="43" fontId="38" fillId="0" borderId="1" xfId="1" applyFont="1" applyFill="1" applyBorder="1" applyAlignment="1">
      <alignment horizontal="right" vertical="center"/>
    </xf>
    <xf numFmtId="164" fontId="44" fillId="3" borderId="1" xfId="1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vertical="top" wrapText="1"/>
    </xf>
    <xf numFmtId="43" fontId="13" fillId="0" borderId="1" xfId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0" fontId="19" fillId="0" borderId="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22" fillId="0" borderId="8" xfId="0" applyFont="1" applyBorder="1" applyAlignment="1">
      <alignment horizontal="left"/>
    </xf>
    <xf numFmtId="0" fontId="22" fillId="0" borderId="6" xfId="0" applyFont="1" applyBorder="1" applyAlignment="1">
      <alignment horizontal="left"/>
    </xf>
    <xf numFmtId="0" fontId="22" fillId="0" borderId="3" xfId="0" applyFont="1" applyBorder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23" fillId="0" borderId="0" xfId="0" applyFont="1" applyAlignment="1">
      <alignment horizontal="right"/>
    </xf>
    <xf numFmtId="0" fontId="19" fillId="0" borderId="0" xfId="0" applyFont="1" applyBorder="1"/>
    <xf numFmtId="0" fontId="15" fillId="0" borderId="0" xfId="0" applyFont="1" applyAlignment="1">
      <alignment horizontal="center" wrapText="1"/>
    </xf>
    <xf numFmtId="0" fontId="28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top" wrapText="1"/>
    </xf>
    <xf numFmtId="0" fontId="36" fillId="0" borderId="2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18" fillId="0" borderId="3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left"/>
    </xf>
    <xf numFmtId="0" fontId="37" fillId="0" borderId="6" xfId="0" applyFont="1" applyBorder="1" applyAlignment="1">
      <alignment horizontal="left"/>
    </xf>
    <xf numFmtId="0" fontId="37" fillId="0" borderId="3" xfId="0" applyFont="1" applyBorder="1" applyAlignment="1">
      <alignment horizontal="left"/>
    </xf>
    <xf numFmtId="0" fontId="37" fillId="0" borderId="2" xfId="0" applyFont="1" applyBorder="1" applyAlignment="1">
      <alignment horizontal="center"/>
    </xf>
    <xf numFmtId="0" fontId="37" fillId="0" borderId="5" xfId="0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7" fillId="0" borderId="8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17" fillId="0" borderId="1" xfId="0" applyFont="1" applyBorder="1" applyAlignment="1">
      <alignment horizont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6" fillId="0" borderId="11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center"/>
    </xf>
    <xf numFmtId="0" fontId="46" fillId="0" borderId="0" xfId="0" applyFont="1" applyAlignment="1">
      <alignment horizontal="center" vertical="top" wrapText="1"/>
    </xf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25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4" xfId="0" applyNumberFormat="1" applyFont="1" applyBorder="1" applyAlignment="1">
      <alignment horizontal="center" vertical="center"/>
    </xf>
    <xf numFmtId="164" fontId="23" fillId="0" borderId="1" xfId="1" applyNumberFormat="1" applyFont="1" applyBorder="1" applyAlignment="1">
      <alignment horizontal="center" vertical="center"/>
    </xf>
    <xf numFmtId="43" fontId="19" fillId="0" borderId="2" xfId="1" applyFont="1" applyBorder="1" applyAlignment="1">
      <alignment horizontal="center" vertical="center" wrapText="1"/>
    </xf>
    <xf numFmtId="43" fontId="19" fillId="0" borderId="5" xfId="1" applyFont="1" applyBorder="1" applyAlignment="1">
      <alignment horizontal="center" vertical="center" wrapText="1"/>
    </xf>
    <xf numFmtId="43" fontId="19" fillId="0" borderId="4" xfId="1" applyFont="1" applyBorder="1" applyAlignment="1">
      <alignment horizontal="center" vertical="center" wrapText="1"/>
    </xf>
    <xf numFmtId="165" fontId="19" fillId="0" borderId="2" xfId="1" applyNumberFormat="1" applyFont="1" applyBorder="1" applyAlignment="1">
      <alignment horizontal="center" vertical="center"/>
    </xf>
    <xf numFmtId="165" fontId="19" fillId="0" borderId="5" xfId="1" applyNumberFormat="1" applyFont="1" applyBorder="1" applyAlignment="1">
      <alignment horizontal="center" vertical="center"/>
    </xf>
    <xf numFmtId="165" fontId="19" fillId="0" borderId="4" xfId="1" applyNumberFormat="1" applyFont="1" applyBorder="1" applyAlignment="1">
      <alignment horizontal="center" vertical="center"/>
    </xf>
    <xf numFmtId="43" fontId="19" fillId="0" borderId="2" xfId="1" applyFont="1" applyBorder="1" applyAlignment="1">
      <alignment horizontal="center" vertical="center"/>
    </xf>
    <xf numFmtId="43" fontId="19" fillId="0" borderId="5" xfId="1" applyFont="1" applyBorder="1" applyAlignment="1">
      <alignment horizontal="center" vertical="center"/>
    </xf>
    <xf numFmtId="43" fontId="19" fillId="0" borderId="4" xfId="1" applyFont="1" applyBorder="1" applyAlignment="1">
      <alignment horizontal="center" vertical="center"/>
    </xf>
    <xf numFmtId="43" fontId="13" fillId="0" borderId="0" xfId="1" applyFont="1" applyAlignment="1">
      <alignment horizontal="center"/>
    </xf>
    <xf numFmtId="0" fontId="14" fillId="0" borderId="2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28" fillId="0" borderId="2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/>
    </xf>
    <xf numFmtId="0" fontId="14" fillId="0" borderId="5" xfId="0" quotePrefix="1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/>
    </xf>
    <xf numFmtId="0" fontId="28" fillId="0" borderId="2" xfId="0" quotePrefix="1" applyFont="1" applyBorder="1" applyAlignment="1">
      <alignment horizontal="center" vertical="center"/>
    </xf>
    <xf numFmtId="0" fontId="28" fillId="0" borderId="5" xfId="0" quotePrefix="1" applyFont="1" applyBorder="1" applyAlignment="1">
      <alignment horizontal="center" vertical="center"/>
    </xf>
    <xf numFmtId="0" fontId="28" fillId="0" borderId="4" xfId="0" quotePrefix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28" fillId="0" borderId="2" xfId="0" applyFont="1" applyFill="1" applyBorder="1" applyAlignment="1">
      <alignment horizontal="center"/>
    </xf>
    <xf numFmtId="0" fontId="28" fillId="0" borderId="5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/>
    </xf>
    <xf numFmtId="0" fontId="28" fillId="0" borderId="2" xfId="0" applyFont="1" applyFill="1" applyBorder="1" applyAlignment="1">
      <alignment horizontal="center" vertical="top"/>
    </xf>
    <xf numFmtId="0" fontId="28" fillId="0" borderId="5" xfId="0" applyFont="1" applyFill="1" applyBorder="1" applyAlignment="1">
      <alignment horizontal="center" vertical="top"/>
    </xf>
    <xf numFmtId="0" fontId="28" fillId="0" borderId="4" xfId="0" applyFont="1" applyFill="1" applyBorder="1" applyAlignment="1">
      <alignment horizontal="center" vertical="top"/>
    </xf>
    <xf numFmtId="0" fontId="28" fillId="0" borderId="10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4" fillId="0" borderId="1" xfId="0" applyFont="1" applyBorder="1" applyAlignment="1">
      <alignment horizontal="left" wrapText="1"/>
    </xf>
    <xf numFmtId="0" fontId="28" fillId="0" borderId="1" xfId="0" quotePrefix="1" applyFont="1" applyBorder="1" applyAlignment="1">
      <alignment horizontal="center" vertical="center"/>
    </xf>
    <xf numFmtId="165" fontId="25" fillId="0" borderId="0" xfId="1" applyNumberFormat="1" applyFont="1" applyAlignment="1">
      <alignment horizontal="center"/>
    </xf>
    <xf numFmtId="0" fontId="14" fillId="0" borderId="1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mruColors>
      <color rgb="FF561F1E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400"/>
              <a:t>Wykonanie dochodów Powiatu Białogardzkiego w I półroczu 2008 roku</a:t>
            </a:r>
          </a:p>
        </c:rich>
      </c:tx>
      <c:layout>
        <c:manualLayout>
          <c:xMode val="edge"/>
          <c:yMode val="edge"/>
          <c:x val="0.16517428605006471"/>
          <c:y val="2.5171624713958809E-2"/>
        </c:manualLayout>
      </c:layout>
      <c:spPr>
        <a:noFill/>
        <a:ln w="25400">
          <a:noFill/>
        </a:ln>
      </c:spPr>
    </c:title>
    <c:view3D>
      <c:hPercent val="149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gradFill flip="none" rotWithShape="1"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lin ang="5400000" scaled="0"/>
          <a:tileRect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9253745374989456"/>
          <c:y val="6.9794089335407164E-2"/>
          <c:w val="0.64328405090080665"/>
          <c:h val="0.85926821460476122"/>
        </c:manualLayout>
      </c:layout>
      <c:bar3DChart>
        <c:barDir val="col"/>
        <c:grouping val="clustered"/>
        <c:ser>
          <c:idx val="0"/>
          <c:order val="0"/>
          <c:tx>
            <c:v>Plan</c:v>
          </c:tx>
          <c:spPr>
            <a:solidFill>
              <a:srgbClr val="561F1E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'wykres dochodów'!$A$3:$A$18</c:f>
              <c:strCache>
                <c:ptCount val="16"/>
                <c:pt idx="0">
                  <c:v>010</c:v>
                </c:pt>
                <c:pt idx="1">
                  <c:v>020</c:v>
                </c:pt>
                <c:pt idx="2">
                  <c:v>150</c:v>
                </c:pt>
                <c:pt idx="3">
                  <c:v>600</c:v>
                </c:pt>
                <c:pt idx="4">
                  <c:v>700</c:v>
                </c:pt>
                <c:pt idx="5">
                  <c:v>710</c:v>
                </c:pt>
                <c:pt idx="6">
                  <c:v>750</c:v>
                </c:pt>
                <c:pt idx="7">
                  <c:v>754</c:v>
                </c:pt>
                <c:pt idx="8">
                  <c:v>756</c:v>
                </c:pt>
                <c:pt idx="9">
                  <c:v>758</c:v>
                </c:pt>
                <c:pt idx="10">
                  <c:v>801</c:v>
                </c:pt>
                <c:pt idx="11">
                  <c:v>851</c:v>
                </c:pt>
                <c:pt idx="12">
                  <c:v>852</c:v>
                </c:pt>
                <c:pt idx="13">
                  <c:v>853</c:v>
                </c:pt>
                <c:pt idx="14">
                  <c:v>854</c:v>
                </c:pt>
                <c:pt idx="15">
                  <c:v>926</c:v>
                </c:pt>
              </c:strCache>
            </c:strRef>
          </c:cat>
          <c:val>
            <c:numRef>
              <c:f>'wykres dochodów'!$B$3:$B$18</c:f>
              <c:numCache>
                <c:formatCode>_-* #,##0\ _z_ł_-;\-* #,##0\ _z_ł_-;_-* "-"??\ _z_ł_-;_-@_-</c:formatCode>
                <c:ptCount val="16"/>
                <c:pt idx="0">
                  <c:v>900900</c:v>
                </c:pt>
                <c:pt idx="1">
                  <c:v>247000</c:v>
                </c:pt>
                <c:pt idx="2">
                  <c:v>63375</c:v>
                </c:pt>
                <c:pt idx="3">
                  <c:v>114300</c:v>
                </c:pt>
                <c:pt idx="4">
                  <c:v>1347686</c:v>
                </c:pt>
                <c:pt idx="5">
                  <c:v>341600</c:v>
                </c:pt>
                <c:pt idx="6">
                  <c:v>310920</c:v>
                </c:pt>
                <c:pt idx="7">
                  <c:v>2692212</c:v>
                </c:pt>
                <c:pt idx="8">
                  <c:v>5143439</c:v>
                </c:pt>
                <c:pt idx="9">
                  <c:v>21136201</c:v>
                </c:pt>
                <c:pt idx="10">
                  <c:v>160937</c:v>
                </c:pt>
                <c:pt idx="11">
                  <c:v>1955500</c:v>
                </c:pt>
                <c:pt idx="12">
                  <c:v>4027391</c:v>
                </c:pt>
                <c:pt idx="13">
                  <c:v>1590449</c:v>
                </c:pt>
                <c:pt idx="14">
                  <c:v>227642</c:v>
                </c:pt>
                <c:pt idx="15">
                  <c:v>150000</c:v>
                </c:pt>
              </c:numCache>
            </c:numRef>
          </c:val>
        </c:ser>
        <c:ser>
          <c:idx val="1"/>
          <c:order val="1"/>
          <c:tx>
            <c:v>Wykonanie</c:v>
          </c:tx>
          <c:spPr>
            <a:solidFill>
              <a:schemeClr val="accent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'wykres dochodów'!$A$3:$A$18</c:f>
              <c:strCache>
                <c:ptCount val="16"/>
                <c:pt idx="0">
                  <c:v>010</c:v>
                </c:pt>
                <c:pt idx="1">
                  <c:v>020</c:v>
                </c:pt>
                <c:pt idx="2">
                  <c:v>150</c:v>
                </c:pt>
                <c:pt idx="3">
                  <c:v>600</c:v>
                </c:pt>
                <c:pt idx="4">
                  <c:v>700</c:v>
                </c:pt>
                <c:pt idx="5">
                  <c:v>710</c:v>
                </c:pt>
                <c:pt idx="6">
                  <c:v>750</c:v>
                </c:pt>
                <c:pt idx="7">
                  <c:v>754</c:v>
                </c:pt>
                <c:pt idx="8">
                  <c:v>756</c:v>
                </c:pt>
                <c:pt idx="9">
                  <c:v>758</c:v>
                </c:pt>
                <c:pt idx="10">
                  <c:v>801</c:v>
                </c:pt>
                <c:pt idx="11">
                  <c:v>851</c:v>
                </c:pt>
                <c:pt idx="12">
                  <c:v>852</c:v>
                </c:pt>
                <c:pt idx="13">
                  <c:v>853</c:v>
                </c:pt>
                <c:pt idx="14">
                  <c:v>854</c:v>
                </c:pt>
                <c:pt idx="15">
                  <c:v>926</c:v>
                </c:pt>
              </c:strCache>
            </c:strRef>
          </c:cat>
          <c:val>
            <c:numRef>
              <c:f>'wykres dochodów'!$C$3:$C$18</c:f>
              <c:numCache>
                <c:formatCode>_-* #,##0.00\ _z_ł_-;\-* #,##0.00\ _z_ł_-;_-* "-"??\ _z_ł_-;_-@_-</c:formatCode>
                <c:ptCount val="16"/>
                <c:pt idx="0">
                  <c:v>860280.29</c:v>
                </c:pt>
                <c:pt idx="1">
                  <c:v>119746.74</c:v>
                </c:pt>
                <c:pt idx="2">
                  <c:v>14607.2</c:v>
                </c:pt>
                <c:pt idx="3">
                  <c:v>17127.080000000002</c:v>
                </c:pt>
                <c:pt idx="4">
                  <c:v>918777.87</c:v>
                </c:pt>
                <c:pt idx="5">
                  <c:v>183871.28</c:v>
                </c:pt>
                <c:pt idx="6">
                  <c:v>189739.43</c:v>
                </c:pt>
                <c:pt idx="7">
                  <c:v>1654329.05</c:v>
                </c:pt>
                <c:pt idx="8">
                  <c:v>2628453.0099999998</c:v>
                </c:pt>
                <c:pt idx="9">
                  <c:v>12379549.710000001</c:v>
                </c:pt>
                <c:pt idx="10">
                  <c:v>148360.23000000001</c:v>
                </c:pt>
                <c:pt idx="11">
                  <c:v>1005796</c:v>
                </c:pt>
                <c:pt idx="12">
                  <c:v>2100167.12</c:v>
                </c:pt>
                <c:pt idx="13">
                  <c:v>1194593.6200000001</c:v>
                </c:pt>
                <c:pt idx="14">
                  <c:v>146008.10999999999</c:v>
                </c:pt>
                <c:pt idx="15">
                  <c:v>150000</c:v>
                </c:pt>
              </c:numCache>
            </c:numRef>
          </c:val>
        </c:ser>
        <c:shape val="box"/>
        <c:axId val="58306560"/>
        <c:axId val="58308096"/>
        <c:axId val="0"/>
      </c:bar3DChart>
      <c:catAx>
        <c:axId val="5830656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8308096"/>
        <c:crosses val="autoZero"/>
        <c:auto val="1"/>
        <c:lblAlgn val="ctr"/>
        <c:lblOffset val="100"/>
        <c:tickLblSkip val="1"/>
        <c:tickMarkSkip val="1"/>
      </c:catAx>
      <c:valAx>
        <c:axId val="58308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-* #,##0\ _z_ł_-;\-* #,##0\ _z_ł_-;_-* &quot;-&quot;??\ _z_ł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8306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7164805891800808E-2"/>
          <c:y val="0.90642484158558756"/>
          <c:w val="0.10597022648250039"/>
          <c:h val="4.462245055870250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0.98425196850393659" l="0.74803149606299613" r="0.15748031496063086" t="0.98425196850393659" header="0.51181102362204722" footer="0.51181102362204722"/>
    <c:pageSetup paperSize="9" orientation="portrait" horizont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/>
              <a:t>Wykonanie wydatków Powiatu Białogardzkiego 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 sz="1200"/>
              <a:t>w I półroczu 2008 r.</a:t>
            </a:r>
          </a:p>
        </c:rich>
      </c:tx>
      <c:layout>
        <c:manualLayout>
          <c:xMode val="edge"/>
          <c:yMode val="edge"/>
          <c:x val="0.12592610811068883"/>
          <c:y val="2.5531928156129848E-2"/>
        </c:manualLayout>
      </c:layout>
      <c:spPr>
        <a:noFill/>
        <a:ln w="25400">
          <a:noFill/>
        </a:ln>
      </c:spPr>
    </c:title>
    <c:view3D>
      <c:hPercent val="141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5400000" scaled="0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185204261001535"/>
          <c:y val="7.6595784468388703E-2"/>
          <c:w val="0.72148252529300538"/>
          <c:h val="0.83936213813275451"/>
        </c:manualLayout>
      </c:layout>
      <c:bar3DChart>
        <c:barDir val="col"/>
        <c:grouping val="clustered"/>
        <c:ser>
          <c:idx val="0"/>
          <c:order val="0"/>
          <c:tx>
            <c:v>Plan</c:v>
          </c:tx>
          <c:spPr>
            <a:solidFill>
              <a:schemeClr val="accent4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'wykres wydatków'!$A$2:$A$77</c:f>
              <c:strCache>
                <c:ptCount val="16"/>
                <c:pt idx="0">
                  <c:v>010</c:v>
                </c:pt>
                <c:pt idx="1">
                  <c:v>020</c:v>
                </c:pt>
                <c:pt idx="2">
                  <c:v>150</c:v>
                </c:pt>
                <c:pt idx="3">
                  <c:v>600</c:v>
                </c:pt>
                <c:pt idx="4">
                  <c:v>700</c:v>
                </c:pt>
                <c:pt idx="5">
                  <c:v>710</c:v>
                </c:pt>
                <c:pt idx="6">
                  <c:v>750</c:v>
                </c:pt>
                <c:pt idx="7">
                  <c:v>754</c:v>
                </c:pt>
                <c:pt idx="8">
                  <c:v>757</c:v>
                </c:pt>
                <c:pt idx="9">
                  <c:v>801</c:v>
                </c:pt>
                <c:pt idx="10">
                  <c:v>851</c:v>
                </c:pt>
                <c:pt idx="11">
                  <c:v>852</c:v>
                </c:pt>
                <c:pt idx="12">
                  <c:v>853</c:v>
                </c:pt>
                <c:pt idx="13">
                  <c:v>854</c:v>
                </c:pt>
                <c:pt idx="14">
                  <c:v>921</c:v>
                </c:pt>
                <c:pt idx="15">
                  <c:v>926</c:v>
                </c:pt>
              </c:strCache>
            </c:strRef>
          </c:cat>
          <c:val>
            <c:numRef>
              <c:f>'wykres wydatków'!$D$2:$D$77</c:f>
              <c:numCache>
                <c:formatCode>_-* #,##0\ _z_ł_-;\-* #,##0\ _z_ł_-;_-* "-"??\ _z_ł_-;_-@_-</c:formatCode>
                <c:ptCount val="16"/>
                <c:pt idx="0">
                  <c:v>88100</c:v>
                </c:pt>
                <c:pt idx="1">
                  <c:v>269000</c:v>
                </c:pt>
                <c:pt idx="2">
                  <c:v>91012</c:v>
                </c:pt>
                <c:pt idx="3">
                  <c:v>1919966</c:v>
                </c:pt>
                <c:pt idx="4">
                  <c:v>425100</c:v>
                </c:pt>
                <c:pt idx="5">
                  <c:v>341600</c:v>
                </c:pt>
                <c:pt idx="6">
                  <c:v>5218153</c:v>
                </c:pt>
                <c:pt idx="7">
                  <c:v>2866523</c:v>
                </c:pt>
                <c:pt idx="8">
                  <c:v>343158</c:v>
                </c:pt>
                <c:pt idx="9">
                  <c:v>11215146</c:v>
                </c:pt>
                <c:pt idx="10">
                  <c:v>2545500</c:v>
                </c:pt>
                <c:pt idx="11">
                  <c:v>8320768</c:v>
                </c:pt>
                <c:pt idx="12">
                  <c:v>2719128</c:v>
                </c:pt>
                <c:pt idx="13">
                  <c:v>3647976</c:v>
                </c:pt>
                <c:pt idx="14">
                  <c:v>180000</c:v>
                </c:pt>
                <c:pt idx="15">
                  <c:v>954175</c:v>
                </c:pt>
              </c:numCache>
            </c:numRef>
          </c:val>
        </c:ser>
        <c:ser>
          <c:idx val="1"/>
          <c:order val="1"/>
          <c:tx>
            <c:v>Wykonanie</c:v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'wykres wydatków'!$A$2:$A$77</c:f>
              <c:strCache>
                <c:ptCount val="16"/>
                <c:pt idx="0">
                  <c:v>010</c:v>
                </c:pt>
                <c:pt idx="1">
                  <c:v>020</c:v>
                </c:pt>
                <c:pt idx="2">
                  <c:v>150</c:v>
                </c:pt>
                <c:pt idx="3">
                  <c:v>600</c:v>
                </c:pt>
                <c:pt idx="4">
                  <c:v>700</c:v>
                </c:pt>
                <c:pt idx="5">
                  <c:v>710</c:v>
                </c:pt>
                <c:pt idx="6">
                  <c:v>750</c:v>
                </c:pt>
                <c:pt idx="7">
                  <c:v>754</c:v>
                </c:pt>
                <c:pt idx="8">
                  <c:v>757</c:v>
                </c:pt>
                <c:pt idx="9">
                  <c:v>801</c:v>
                </c:pt>
                <c:pt idx="10">
                  <c:v>851</c:v>
                </c:pt>
                <c:pt idx="11">
                  <c:v>852</c:v>
                </c:pt>
                <c:pt idx="12">
                  <c:v>853</c:v>
                </c:pt>
                <c:pt idx="13">
                  <c:v>854</c:v>
                </c:pt>
                <c:pt idx="14">
                  <c:v>921</c:v>
                </c:pt>
                <c:pt idx="15">
                  <c:v>926</c:v>
                </c:pt>
              </c:strCache>
            </c:strRef>
          </c:cat>
          <c:val>
            <c:numRef>
              <c:f>'wykres wydatków'!$E$2:$E$77</c:f>
              <c:numCache>
                <c:formatCode>_-* #,##0\ _z_ł_-;\-* #,##0\ _z_ł_-;_-* "-"??\ _z_ł_-;_-@_-</c:formatCode>
                <c:ptCount val="16"/>
                <c:pt idx="0">
                  <c:v>8590.7800000000007</c:v>
                </c:pt>
                <c:pt idx="1">
                  <c:v>118946.35</c:v>
                </c:pt>
                <c:pt idx="2">
                  <c:v>36164.21</c:v>
                </c:pt>
                <c:pt idx="3">
                  <c:v>723689.33</c:v>
                </c:pt>
                <c:pt idx="4">
                  <c:v>331882.73</c:v>
                </c:pt>
                <c:pt idx="5">
                  <c:v>115584.77</c:v>
                </c:pt>
                <c:pt idx="6">
                  <c:v>2401247.87</c:v>
                </c:pt>
                <c:pt idx="7">
                  <c:v>1461291.87</c:v>
                </c:pt>
                <c:pt idx="8">
                  <c:v>202689.35</c:v>
                </c:pt>
                <c:pt idx="9">
                  <c:v>5896907.1799999997</c:v>
                </c:pt>
                <c:pt idx="10">
                  <c:v>982282.7</c:v>
                </c:pt>
                <c:pt idx="11">
                  <c:v>3761286.85</c:v>
                </c:pt>
                <c:pt idx="12">
                  <c:v>1453229</c:v>
                </c:pt>
                <c:pt idx="13">
                  <c:v>1844682.4</c:v>
                </c:pt>
                <c:pt idx="14">
                  <c:v>0</c:v>
                </c:pt>
                <c:pt idx="15">
                  <c:v>314501.96999999997</c:v>
                </c:pt>
              </c:numCache>
            </c:numRef>
          </c:val>
        </c:ser>
        <c:shape val="box"/>
        <c:axId val="59264000"/>
        <c:axId val="59265792"/>
        <c:axId val="0"/>
      </c:bar3DChart>
      <c:catAx>
        <c:axId val="5926400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9265792"/>
        <c:crosses val="autoZero"/>
        <c:auto val="1"/>
        <c:lblAlgn val="ctr"/>
        <c:lblOffset val="100"/>
        <c:tickLblSkip val="1"/>
        <c:tickMarkSkip val="1"/>
      </c:catAx>
      <c:valAx>
        <c:axId val="59265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-* #,##0\ _z_ł_-;\-* #,##0\ _z_ł_-;_-* &quot;-&quot;??\ _z_ł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9264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1899702645360986E-2"/>
          <c:y val="0.92198890556239355"/>
          <c:w val="0.10518533736304596"/>
          <c:h val="4.14893832537105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18000000000000024" r="0.22" t="1" header="0.5" footer="0.5"/>
    <c:pageSetup paperSize="9" orientation="portrait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0</xdr:rowOff>
    </xdr:from>
    <xdr:to>
      <xdr:col>9</xdr:col>
      <xdr:colOff>3936999</xdr:colOff>
      <xdr:row>81</xdr:row>
      <xdr:rowOff>158749</xdr:rowOff>
    </xdr:to>
    <xdr:graphicFrame macro="">
      <xdr:nvGraphicFramePr>
        <xdr:cNvPr id="512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771525</xdr:colOff>
      <xdr:row>88</xdr:row>
      <xdr:rowOff>28575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7"/>
  <sheetViews>
    <sheetView view="pageLayout" topLeftCell="A55" workbookViewId="0">
      <selection activeCell="D60" sqref="D60"/>
    </sheetView>
  </sheetViews>
  <sheetFormatPr defaultRowHeight="12.75"/>
  <cols>
    <col min="1" max="1" width="3.85546875" customWidth="1"/>
    <col min="2" max="2" width="5.28515625" customWidth="1"/>
    <col min="3" max="3" width="4.28515625" customWidth="1"/>
    <col min="4" max="4" width="30.140625" customWidth="1"/>
    <col min="5" max="5" width="11.7109375" style="42" customWidth="1"/>
    <col min="6" max="6" width="13.5703125" style="42" customWidth="1"/>
    <col min="7" max="7" width="13.28515625" style="42" customWidth="1"/>
    <col min="8" max="9" width="6.140625" customWidth="1"/>
  </cols>
  <sheetData>
    <row r="1" spans="1:8">
      <c r="A1" s="47"/>
      <c r="B1" s="47"/>
      <c r="C1" s="47"/>
      <c r="D1" s="705" t="s">
        <v>2</v>
      </c>
      <c r="E1" s="705"/>
      <c r="F1" s="705"/>
      <c r="G1" s="705"/>
      <c r="H1" s="705"/>
    </row>
    <row r="2" spans="1:8">
      <c r="A2" s="706" t="s">
        <v>3</v>
      </c>
      <c r="B2" s="706"/>
      <c r="C2" s="706"/>
      <c r="D2" s="706"/>
      <c r="E2" s="706"/>
      <c r="F2" s="706"/>
      <c r="G2" s="706"/>
      <c r="H2" s="706"/>
    </row>
    <row r="3" spans="1:8">
      <c r="A3" s="706" t="s">
        <v>4</v>
      </c>
      <c r="B3" s="706"/>
      <c r="C3" s="706"/>
      <c r="D3" s="706"/>
      <c r="E3" s="706"/>
      <c r="F3" s="706"/>
      <c r="G3" s="706"/>
      <c r="H3" s="706"/>
    </row>
    <row r="4" spans="1:8">
      <c r="A4" s="706" t="s">
        <v>5</v>
      </c>
      <c r="B4" s="706"/>
      <c r="C4" s="706"/>
      <c r="D4" s="706"/>
      <c r="E4" s="706"/>
      <c r="F4" s="706"/>
      <c r="G4" s="706"/>
      <c r="H4" s="706"/>
    </row>
    <row r="5" spans="1:8">
      <c r="A5" s="706" t="s">
        <v>320</v>
      </c>
      <c r="B5" s="706"/>
      <c r="C5" s="706"/>
      <c r="D5" s="706"/>
      <c r="E5" s="706"/>
      <c r="F5" s="706"/>
      <c r="G5" s="706"/>
      <c r="H5" s="706"/>
    </row>
    <row r="6" spans="1:8">
      <c r="A6" s="47" t="s">
        <v>7</v>
      </c>
      <c r="B6" s="47"/>
      <c r="C6" s="47"/>
      <c r="D6" s="47"/>
      <c r="E6" s="58"/>
      <c r="F6" s="58"/>
      <c r="G6" s="492" t="s">
        <v>165</v>
      </c>
    </row>
    <row r="7" spans="1:8" s="151" customFormat="1" ht="11.25">
      <c r="A7" s="702" t="s">
        <v>0</v>
      </c>
      <c r="B7" s="702" t="s">
        <v>77</v>
      </c>
      <c r="C7" s="702" t="s">
        <v>78</v>
      </c>
      <c r="D7" s="702" t="s">
        <v>1</v>
      </c>
      <c r="E7" s="712" t="s">
        <v>192</v>
      </c>
      <c r="F7" s="715" t="s">
        <v>144</v>
      </c>
      <c r="G7" s="716"/>
      <c r="H7" s="707" t="s">
        <v>145</v>
      </c>
    </row>
    <row r="8" spans="1:8" s="151" customFormat="1" ht="16.5" customHeight="1">
      <c r="A8" s="703"/>
      <c r="B8" s="703"/>
      <c r="C8" s="703"/>
      <c r="D8" s="703"/>
      <c r="E8" s="713"/>
      <c r="F8" s="718" t="s">
        <v>453</v>
      </c>
      <c r="G8" s="717" t="s">
        <v>454</v>
      </c>
      <c r="H8" s="708"/>
    </row>
    <row r="9" spans="1:8" s="151" customFormat="1" ht="11.25">
      <c r="A9" s="704"/>
      <c r="B9" s="704"/>
      <c r="C9" s="704"/>
      <c r="D9" s="704"/>
      <c r="E9" s="714"/>
      <c r="F9" s="718"/>
      <c r="G9" s="717"/>
      <c r="H9" s="709"/>
    </row>
    <row r="10" spans="1:8" s="151" customFormat="1" ht="11.25">
      <c r="A10" s="75">
        <v>1</v>
      </c>
      <c r="B10" s="75">
        <v>2</v>
      </c>
      <c r="C10" s="75">
        <v>3</v>
      </c>
      <c r="D10" s="75">
        <v>4</v>
      </c>
      <c r="E10" s="150">
        <v>5</v>
      </c>
      <c r="F10" s="150">
        <v>6</v>
      </c>
      <c r="G10" s="150">
        <v>7</v>
      </c>
      <c r="H10" s="75">
        <v>8</v>
      </c>
    </row>
    <row r="11" spans="1:8" s="114" customFormat="1" ht="12">
      <c r="A11" s="568" t="s">
        <v>28</v>
      </c>
      <c r="B11" s="568"/>
      <c r="C11" s="569"/>
      <c r="D11" s="570" t="s">
        <v>42</v>
      </c>
      <c r="E11" s="669">
        <f>E12+E14+E16</f>
        <v>900900</v>
      </c>
      <c r="F11" s="670">
        <f t="shared" ref="F11:G11" si="0">F12+F14+F16</f>
        <v>47380.29</v>
      </c>
      <c r="G11" s="670">
        <f t="shared" si="0"/>
        <v>812900</v>
      </c>
      <c r="H11" s="671">
        <f>(F11+G11)/E11*100</f>
        <v>95.491207681207698</v>
      </c>
    </row>
    <row r="12" spans="1:8" s="114" customFormat="1" ht="22.5">
      <c r="A12" s="702" t="s">
        <v>27</v>
      </c>
      <c r="B12" s="416" t="s">
        <v>63</v>
      </c>
      <c r="C12" s="491"/>
      <c r="D12" s="668" t="s">
        <v>79</v>
      </c>
      <c r="E12" s="672">
        <f>E13</f>
        <v>88000</v>
      </c>
      <c r="F12" s="673">
        <f>F13</f>
        <v>47258</v>
      </c>
      <c r="G12" s="673"/>
      <c r="H12" s="674">
        <f t="shared" ref="H12:H13" si="1">F12/E12*100</f>
        <v>53.702272727272728</v>
      </c>
    </row>
    <row r="13" spans="1:8" s="114" customFormat="1" ht="34.5" customHeight="1">
      <c r="A13" s="703"/>
      <c r="B13" s="573"/>
      <c r="C13" s="573">
        <v>2110</v>
      </c>
      <c r="D13" s="424" t="s">
        <v>80</v>
      </c>
      <c r="E13" s="675">
        <v>88000</v>
      </c>
      <c r="F13" s="673">
        <v>47258</v>
      </c>
      <c r="G13" s="676">
        <v>0</v>
      </c>
      <c r="H13" s="674">
        <f t="shared" si="1"/>
        <v>53.702272727272728</v>
      </c>
    </row>
    <row r="14" spans="1:8" s="114" customFormat="1" ht="12">
      <c r="A14" s="703"/>
      <c r="B14" s="575" t="s">
        <v>137</v>
      </c>
      <c r="C14" s="573"/>
      <c r="D14" s="424" t="s">
        <v>138</v>
      </c>
      <c r="E14" s="675">
        <f>E15</f>
        <v>0</v>
      </c>
      <c r="F14" s="673">
        <f>F15</f>
        <v>122.29</v>
      </c>
      <c r="G14" s="676">
        <v>0</v>
      </c>
      <c r="H14" s="674"/>
    </row>
    <row r="15" spans="1:8" s="114" customFormat="1" ht="33" customHeight="1">
      <c r="A15" s="703"/>
      <c r="B15" s="573"/>
      <c r="C15" s="573">
        <v>2360</v>
      </c>
      <c r="D15" s="424" t="s">
        <v>148</v>
      </c>
      <c r="E15" s="675">
        <v>0</v>
      </c>
      <c r="F15" s="673">
        <v>122.29</v>
      </c>
      <c r="G15" s="676">
        <v>0</v>
      </c>
      <c r="H15" s="674"/>
    </row>
    <row r="16" spans="1:8" s="114" customFormat="1" ht="12">
      <c r="A16" s="703"/>
      <c r="B16" s="575" t="s">
        <v>185</v>
      </c>
      <c r="C16" s="573"/>
      <c r="D16" s="424" t="s">
        <v>89</v>
      </c>
      <c r="E16" s="675">
        <f>E17</f>
        <v>812900</v>
      </c>
      <c r="F16" s="673">
        <f>F17</f>
        <v>0</v>
      </c>
      <c r="G16" s="673">
        <f>G17</f>
        <v>812900</v>
      </c>
      <c r="H16" s="674">
        <f>G16/E16*100</f>
        <v>100</v>
      </c>
    </row>
    <row r="17" spans="1:8" s="114" customFormat="1" ht="33.75">
      <c r="A17" s="704"/>
      <c r="B17" s="573"/>
      <c r="C17" s="575" t="s">
        <v>37</v>
      </c>
      <c r="D17" s="424" t="s">
        <v>75</v>
      </c>
      <c r="E17" s="675">
        <v>812900</v>
      </c>
      <c r="F17" s="673">
        <v>0</v>
      </c>
      <c r="G17" s="673">
        <v>812900</v>
      </c>
      <c r="H17" s="674">
        <f>G17/E17*100</f>
        <v>100</v>
      </c>
    </row>
    <row r="18" spans="1:8" s="114" customFormat="1" ht="12">
      <c r="A18" s="576" t="s">
        <v>29</v>
      </c>
      <c r="B18" s="577"/>
      <c r="C18" s="578"/>
      <c r="D18" s="579" t="s">
        <v>43</v>
      </c>
      <c r="E18" s="669">
        <f>E20</f>
        <v>247000</v>
      </c>
      <c r="F18" s="677">
        <f>F20</f>
        <v>119746.74</v>
      </c>
      <c r="G18" s="677">
        <v>0</v>
      </c>
      <c r="H18" s="671">
        <f t="shared" ref="H18:H47" si="2">F18/E18*100</f>
        <v>48.48046153846154</v>
      </c>
    </row>
    <row r="19" spans="1:8" s="114" customFormat="1" ht="12">
      <c r="A19" s="710" t="s">
        <v>27</v>
      </c>
      <c r="B19" s="575" t="s">
        <v>81</v>
      </c>
      <c r="C19" s="573"/>
      <c r="D19" s="424" t="s">
        <v>82</v>
      </c>
      <c r="E19" s="675">
        <f>E20</f>
        <v>247000</v>
      </c>
      <c r="F19" s="673">
        <f>F20</f>
        <v>119746.74</v>
      </c>
      <c r="G19" s="676">
        <v>0</v>
      </c>
      <c r="H19" s="674">
        <f t="shared" si="2"/>
        <v>48.48046153846154</v>
      </c>
    </row>
    <row r="20" spans="1:8" s="114" customFormat="1" ht="33" customHeight="1">
      <c r="A20" s="710"/>
      <c r="B20" s="573"/>
      <c r="C20" s="573">
        <v>2460</v>
      </c>
      <c r="D20" s="424" t="s">
        <v>83</v>
      </c>
      <c r="E20" s="675">
        <v>247000</v>
      </c>
      <c r="F20" s="673">
        <v>119746.74</v>
      </c>
      <c r="G20" s="676">
        <v>0</v>
      </c>
      <c r="H20" s="674">
        <f t="shared" si="2"/>
        <v>48.48046153846154</v>
      </c>
    </row>
    <row r="21" spans="1:8" s="114" customFormat="1" ht="12">
      <c r="A21" s="581">
        <v>150</v>
      </c>
      <c r="B21" s="581"/>
      <c r="C21" s="581"/>
      <c r="D21" s="582" t="s">
        <v>180</v>
      </c>
      <c r="E21" s="678">
        <f>E22</f>
        <v>63375</v>
      </c>
      <c r="F21" s="679">
        <f>F22</f>
        <v>14607.2</v>
      </c>
      <c r="G21" s="679">
        <v>0</v>
      </c>
      <c r="H21" s="680">
        <f t="shared" si="2"/>
        <v>23.048836291913215</v>
      </c>
    </row>
    <row r="22" spans="1:8" s="114" customFormat="1" ht="12">
      <c r="A22" s="702"/>
      <c r="B22" s="573">
        <v>15011</v>
      </c>
      <c r="C22" s="573"/>
      <c r="D22" s="424" t="s">
        <v>219</v>
      </c>
      <c r="E22" s="675">
        <f>E23</f>
        <v>63375</v>
      </c>
      <c r="F22" s="673">
        <f>F23</f>
        <v>14607.2</v>
      </c>
      <c r="G22" s="676">
        <v>0</v>
      </c>
      <c r="H22" s="674">
        <f t="shared" si="2"/>
        <v>23.048836291913215</v>
      </c>
    </row>
    <row r="23" spans="1:8" s="114" customFormat="1" ht="42" customHeight="1">
      <c r="A23" s="704"/>
      <c r="B23" s="573"/>
      <c r="C23" s="573">
        <v>8538</v>
      </c>
      <c r="D23" s="424" t="s">
        <v>309</v>
      </c>
      <c r="E23" s="675">
        <v>63375</v>
      </c>
      <c r="F23" s="673">
        <v>14607.2</v>
      </c>
      <c r="G23" s="676">
        <v>0</v>
      </c>
      <c r="H23" s="674">
        <f t="shared" si="2"/>
        <v>23.048836291913215</v>
      </c>
    </row>
    <row r="24" spans="1:8" s="114" customFormat="1" ht="12">
      <c r="A24" s="578">
        <v>600</v>
      </c>
      <c r="B24" s="578"/>
      <c r="C24" s="578"/>
      <c r="D24" s="579" t="s">
        <v>84</v>
      </c>
      <c r="E24" s="669">
        <f>E25</f>
        <v>114300</v>
      </c>
      <c r="F24" s="677">
        <f>F25</f>
        <v>17127.080000000002</v>
      </c>
      <c r="G24" s="677">
        <v>0</v>
      </c>
      <c r="H24" s="671">
        <f t="shared" si="2"/>
        <v>14.984321959755032</v>
      </c>
    </row>
    <row r="25" spans="1:8" s="114" customFormat="1" ht="12">
      <c r="A25" s="702"/>
      <c r="B25" s="573">
        <v>60014</v>
      </c>
      <c r="C25" s="573"/>
      <c r="D25" s="424" t="s">
        <v>54</v>
      </c>
      <c r="E25" s="675">
        <f>SUM(E26:E31)</f>
        <v>114300</v>
      </c>
      <c r="F25" s="673">
        <f>SUM(F26:F31)</f>
        <v>17127.080000000002</v>
      </c>
      <c r="G25" s="676">
        <v>0</v>
      </c>
      <c r="H25" s="674">
        <f t="shared" si="2"/>
        <v>14.984321959755032</v>
      </c>
    </row>
    <row r="26" spans="1:8" s="114" customFormat="1" ht="44.25" customHeight="1">
      <c r="A26" s="703"/>
      <c r="B26" s="703"/>
      <c r="C26" s="575" t="s">
        <v>36</v>
      </c>
      <c r="D26" s="424" t="s">
        <v>209</v>
      </c>
      <c r="E26" s="675">
        <v>10200</v>
      </c>
      <c r="F26" s="673">
        <v>5100</v>
      </c>
      <c r="G26" s="676">
        <v>0</v>
      </c>
      <c r="H26" s="674">
        <f t="shared" si="2"/>
        <v>50</v>
      </c>
    </row>
    <row r="27" spans="1:8" s="114" customFormat="1" ht="12">
      <c r="A27" s="703"/>
      <c r="B27" s="703"/>
      <c r="C27" s="575" t="s">
        <v>70</v>
      </c>
      <c r="D27" s="424" t="s">
        <v>72</v>
      </c>
      <c r="E27" s="675">
        <v>510</v>
      </c>
      <c r="F27" s="673">
        <v>510.04</v>
      </c>
      <c r="G27" s="676">
        <v>0</v>
      </c>
      <c r="H27" s="674">
        <f t="shared" si="2"/>
        <v>100.00784313725491</v>
      </c>
    </row>
    <row r="28" spans="1:8" s="114" customFormat="1" ht="22.5">
      <c r="A28" s="703"/>
      <c r="B28" s="703"/>
      <c r="C28" s="575" t="s">
        <v>442</v>
      </c>
      <c r="D28" s="424" t="s">
        <v>448</v>
      </c>
      <c r="E28" s="675">
        <v>0</v>
      </c>
      <c r="F28" s="673">
        <v>2.2200000000000002</v>
      </c>
      <c r="G28" s="676">
        <v>0</v>
      </c>
      <c r="H28" s="674"/>
    </row>
    <row r="29" spans="1:8" s="114" customFormat="1" ht="12">
      <c r="A29" s="703"/>
      <c r="B29" s="703"/>
      <c r="C29" s="575" t="s">
        <v>64</v>
      </c>
      <c r="D29" s="424" t="s">
        <v>74</v>
      </c>
      <c r="E29" s="675">
        <v>400</v>
      </c>
      <c r="F29" s="673">
        <v>1234.29</v>
      </c>
      <c r="G29" s="676">
        <v>0</v>
      </c>
      <c r="H29" s="674">
        <f t="shared" si="2"/>
        <v>308.57249999999999</v>
      </c>
    </row>
    <row r="30" spans="1:8" s="114" customFormat="1" ht="12">
      <c r="A30" s="703"/>
      <c r="B30" s="703"/>
      <c r="C30" s="575" t="s">
        <v>71</v>
      </c>
      <c r="D30" s="424" t="s">
        <v>73</v>
      </c>
      <c r="E30" s="675">
        <v>3190</v>
      </c>
      <c r="F30" s="673">
        <v>10280.530000000001</v>
      </c>
      <c r="G30" s="676">
        <v>0</v>
      </c>
      <c r="H30" s="674">
        <f t="shared" si="2"/>
        <v>322.27366771159876</v>
      </c>
    </row>
    <row r="31" spans="1:8" s="114" customFormat="1" ht="33.75">
      <c r="A31" s="711"/>
      <c r="B31" s="711"/>
      <c r="C31" s="575">
        <v>2440</v>
      </c>
      <c r="D31" s="424" t="s">
        <v>90</v>
      </c>
      <c r="E31" s="675">
        <v>100000</v>
      </c>
      <c r="F31" s="673">
        <v>0</v>
      </c>
      <c r="G31" s="676">
        <v>0</v>
      </c>
      <c r="H31" s="674">
        <f t="shared" si="2"/>
        <v>0</v>
      </c>
    </row>
    <row r="32" spans="1:8" s="114" customFormat="1" ht="12">
      <c r="A32" s="578">
        <v>700</v>
      </c>
      <c r="B32" s="578"/>
      <c r="C32" s="578"/>
      <c r="D32" s="579" t="s">
        <v>44</v>
      </c>
      <c r="E32" s="669">
        <f>E33</f>
        <v>1347686</v>
      </c>
      <c r="F32" s="677">
        <f>F33</f>
        <v>160821.76000000001</v>
      </c>
      <c r="G32" s="677">
        <f>G33</f>
        <v>757956.11</v>
      </c>
      <c r="H32" s="680">
        <f>(F32+G32)/E32*100</f>
        <v>68.174476102000028</v>
      </c>
    </row>
    <row r="33" spans="1:8" s="114" customFormat="1" ht="12">
      <c r="A33" s="710" t="s">
        <v>27</v>
      </c>
      <c r="B33" s="573">
        <v>70005</v>
      </c>
      <c r="C33" s="573"/>
      <c r="D33" s="424" t="s">
        <v>85</v>
      </c>
      <c r="E33" s="675">
        <f>SUM(E34:E41)</f>
        <v>1347686</v>
      </c>
      <c r="F33" s="673">
        <f>SUM(F34:F41)</f>
        <v>160821.76000000001</v>
      </c>
      <c r="G33" s="673">
        <f>SUM(G34:G41)</f>
        <v>757956.11</v>
      </c>
      <c r="H33" s="674">
        <f>(F33+G33)/E33*100</f>
        <v>68.174476102000028</v>
      </c>
    </row>
    <row r="34" spans="1:8" s="114" customFormat="1" ht="22.5" customHeight="1">
      <c r="A34" s="710"/>
      <c r="B34" s="710"/>
      <c r="C34" s="575" t="s">
        <v>35</v>
      </c>
      <c r="D34" s="424" t="s">
        <v>38</v>
      </c>
      <c r="E34" s="675">
        <v>17207</v>
      </c>
      <c r="F34" s="673">
        <v>41744.39</v>
      </c>
      <c r="G34" s="673">
        <v>0</v>
      </c>
      <c r="H34" s="674">
        <f t="shared" si="2"/>
        <v>242.60120881036786</v>
      </c>
    </row>
    <row r="35" spans="1:8" s="114" customFormat="1" ht="45" customHeight="1">
      <c r="A35" s="710"/>
      <c r="B35" s="710"/>
      <c r="C35" s="575" t="s">
        <v>36</v>
      </c>
      <c r="D35" s="424" t="s">
        <v>209</v>
      </c>
      <c r="E35" s="675">
        <v>40000</v>
      </c>
      <c r="F35" s="673">
        <v>13080.64</v>
      </c>
      <c r="G35" s="673">
        <v>0</v>
      </c>
      <c r="H35" s="674">
        <f t="shared" si="2"/>
        <v>32.701599999999999</v>
      </c>
    </row>
    <row r="36" spans="1:8" s="114" customFormat="1" ht="33.75">
      <c r="A36" s="710"/>
      <c r="B36" s="710"/>
      <c r="C36" s="575" t="s">
        <v>37</v>
      </c>
      <c r="D36" s="424" t="s">
        <v>75</v>
      </c>
      <c r="E36" s="675">
        <v>1114479</v>
      </c>
      <c r="F36" s="673">
        <v>0</v>
      </c>
      <c r="G36" s="673">
        <v>757956.11</v>
      </c>
      <c r="H36" s="674">
        <f>(F36+G36)/E36*100</f>
        <v>68.00990507672195</v>
      </c>
    </row>
    <row r="37" spans="1:8" s="114" customFormat="1" ht="22.5">
      <c r="A37" s="710"/>
      <c r="B37" s="710"/>
      <c r="C37" s="575" t="s">
        <v>442</v>
      </c>
      <c r="D37" s="424" t="s">
        <v>448</v>
      </c>
      <c r="E37" s="675"/>
      <c r="F37" s="673">
        <v>56.7</v>
      </c>
      <c r="G37" s="673">
        <v>0</v>
      </c>
      <c r="H37" s="674"/>
    </row>
    <row r="38" spans="1:8" s="114" customFormat="1" ht="12">
      <c r="A38" s="710"/>
      <c r="B38" s="710"/>
      <c r="C38" s="575" t="s">
        <v>64</v>
      </c>
      <c r="D38" s="424" t="s">
        <v>74</v>
      </c>
      <c r="E38" s="675">
        <v>10000</v>
      </c>
      <c r="F38" s="673">
        <v>1670.9</v>
      </c>
      <c r="G38" s="673">
        <v>0</v>
      </c>
      <c r="H38" s="674">
        <f t="shared" si="2"/>
        <v>16.709000000000003</v>
      </c>
    </row>
    <row r="39" spans="1:8" s="114" customFormat="1" ht="12">
      <c r="A39" s="710"/>
      <c r="B39" s="710"/>
      <c r="C39" s="575" t="s">
        <v>71</v>
      </c>
      <c r="D39" s="424" t="s">
        <v>73</v>
      </c>
      <c r="E39" s="675">
        <v>5000</v>
      </c>
      <c r="F39" s="673">
        <v>200.23</v>
      </c>
      <c r="G39" s="673">
        <v>0</v>
      </c>
      <c r="H39" s="674">
        <f t="shared" si="2"/>
        <v>4.0045999999999999</v>
      </c>
    </row>
    <row r="40" spans="1:8" s="114" customFormat="1" ht="34.5" customHeight="1">
      <c r="A40" s="710"/>
      <c r="B40" s="710"/>
      <c r="C40" s="573">
        <v>2110</v>
      </c>
      <c r="D40" s="424" t="s">
        <v>80</v>
      </c>
      <c r="E40" s="675">
        <v>61000</v>
      </c>
      <c r="F40" s="673">
        <v>35581</v>
      </c>
      <c r="G40" s="673">
        <v>0</v>
      </c>
      <c r="H40" s="674">
        <f t="shared" si="2"/>
        <v>58.329508196721314</v>
      </c>
    </row>
    <row r="41" spans="1:8" s="114" customFormat="1" ht="33.75" customHeight="1">
      <c r="A41" s="710"/>
      <c r="B41" s="710"/>
      <c r="C41" s="573">
        <v>2360</v>
      </c>
      <c r="D41" s="424" t="s">
        <v>148</v>
      </c>
      <c r="E41" s="675">
        <v>100000</v>
      </c>
      <c r="F41" s="673">
        <v>68487.899999999994</v>
      </c>
      <c r="G41" s="673">
        <v>0</v>
      </c>
      <c r="H41" s="674">
        <f t="shared" si="2"/>
        <v>68.487899999999996</v>
      </c>
    </row>
    <row r="42" spans="1:8" s="114" customFormat="1" ht="12">
      <c r="A42" s="568">
        <v>710</v>
      </c>
      <c r="B42" s="568"/>
      <c r="C42" s="569"/>
      <c r="D42" s="579" t="s">
        <v>45</v>
      </c>
      <c r="E42" s="669">
        <f>E43+E45+E47</f>
        <v>341600</v>
      </c>
      <c r="F42" s="677">
        <f>F43+F45+F47</f>
        <v>183871.28</v>
      </c>
      <c r="G42" s="677">
        <v>0</v>
      </c>
      <c r="H42" s="680">
        <f t="shared" si="2"/>
        <v>53.826487119437935</v>
      </c>
    </row>
    <row r="43" spans="1:8" s="114" customFormat="1" ht="12">
      <c r="A43" s="719" t="s">
        <v>27</v>
      </c>
      <c r="B43" s="416">
        <v>71013</v>
      </c>
      <c r="C43" s="491"/>
      <c r="D43" s="424" t="s">
        <v>86</v>
      </c>
      <c r="E43" s="675">
        <f>E44</f>
        <v>74000</v>
      </c>
      <c r="F43" s="673">
        <f>F44</f>
        <v>39740</v>
      </c>
      <c r="G43" s="673">
        <v>0</v>
      </c>
      <c r="H43" s="674">
        <f t="shared" si="2"/>
        <v>53.702702702702695</v>
      </c>
    </row>
    <row r="44" spans="1:8" s="114" customFormat="1" ht="33" customHeight="1">
      <c r="A44" s="720"/>
      <c r="B44" s="491"/>
      <c r="C44" s="573">
        <v>2110</v>
      </c>
      <c r="D44" s="424" t="s">
        <v>80</v>
      </c>
      <c r="E44" s="675">
        <v>74000</v>
      </c>
      <c r="F44" s="673">
        <v>39740</v>
      </c>
      <c r="G44" s="673">
        <v>0</v>
      </c>
      <c r="H44" s="674">
        <f t="shared" si="2"/>
        <v>53.702702702702695</v>
      </c>
    </row>
    <row r="45" spans="1:8" s="114" customFormat="1" ht="12">
      <c r="A45" s="720"/>
      <c r="B45" s="491">
        <v>71014</v>
      </c>
      <c r="C45" s="573"/>
      <c r="D45" s="424" t="s">
        <v>87</v>
      </c>
      <c r="E45" s="675">
        <f>E46</f>
        <v>19000</v>
      </c>
      <c r="F45" s="673">
        <f>F46</f>
        <v>10202</v>
      </c>
      <c r="G45" s="673">
        <v>0</v>
      </c>
      <c r="H45" s="674">
        <f t="shared" si="2"/>
        <v>53.694736842105264</v>
      </c>
    </row>
    <row r="46" spans="1:8" s="114" customFormat="1" ht="33" customHeight="1">
      <c r="A46" s="720"/>
      <c r="B46" s="491"/>
      <c r="C46" s="573">
        <v>2110</v>
      </c>
      <c r="D46" s="424" t="s">
        <v>80</v>
      </c>
      <c r="E46" s="675">
        <v>19000</v>
      </c>
      <c r="F46" s="673">
        <v>10202</v>
      </c>
      <c r="G46" s="673">
        <v>0</v>
      </c>
      <c r="H46" s="674">
        <f t="shared" si="2"/>
        <v>53.694736842105264</v>
      </c>
    </row>
    <row r="47" spans="1:8" s="114" customFormat="1" ht="12">
      <c r="A47" s="720"/>
      <c r="B47" s="491">
        <v>71015</v>
      </c>
      <c r="C47" s="573"/>
      <c r="D47" s="424" t="s">
        <v>88</v>
      </c>
      <c r="E47" s="675">
        <f>SUM(E48:E50)</f>
        <v>248600</v>
      </c>
      <c r="F47" s="673">
        <f>SUM(F48:F51)</f>
        <v>133929.28</v>
      </c>
      <c r="G47" s="673">
        <v>0</v>
      </c>
      <c r="H47" s="674">
        <f t="shared" si="2"/>
        <v>53.873403057119873</v>
      </c>
    </row>
    <row r="48" spans="1:8" s="114" customFormat="1" ht="12">
      <c r="A48" s="720"/>
      <c r="B48" s="719"/>
      <c r="C48" s="575" t="s">
        <v>52</v>
      </c>
      <c r="D48" s="434" t="s">
        <v>53</v>
      </c>
      <c r="E48" s="675">
        <v>0</v>
      </c>
      <c r="F48" s="673">
        <v>149.6</v>
      </c>
      <c r="G48" s="673">
        <v>0</v>
      </c>
      <c r="H48" s="674"/>
    </row>
    <row r="49" spans="1:8" s="114" customFormat="1" ht="12">
      <c r="A49" s="720"/>
      <c r="B49" s="720"/>
      <c r="C49" s="575" t="s">
        <v>64</v>
      </c>
      <c r="D49" s="424" t="s">
        <v>74</v>
      </c>
      <c r="E49" s="675">
        <v>0</v>
      </c>
      <c r="F49" s="673">
        <v>369.18</v>
      </c>
      <c r="G49" s="673">
        <v>0</v>
      </c>
      <c r="H49" s="674"/>
    </row>
    <row r="50" spans="1:8" s="114" customFormat="1" ht="35.25" customHeight="1">
      <c r="A50" s="720"/>
      <c r="B50" s="720"/>
      <c r="C50" s="575">
        <v>2110</v>
      </c>
      <c r="D50" s="424" t="s">
        <v>80</v>
      </c>
      <c r="E50" s="675">
        <v>248600</v>
      </c>
      <c r="F50" s="673">
        <v>133398</v>
      </c>
      <c r="G50" s="673">
        <v>0</v>
      </c>
      <c r="H50" s="674">
        <f t="shared" ref="H50" si="3">F50/E50*100</f>
        <v>53.659694288012872</v>
      </c>
    </row>
    <row r="51" spans="1:8" s="114" customFormat="1" ht="32.25" customHeight="1">
      <c r="A51" s="721"/>
      <c r="B51" s="721"/>
      <c r="C51" s="575">
        <v>2360</v>
      </c>
      <c r="D51" s="424" t="s">
        <v>148</v>
      </c>
      <c r="E51" s="675">
        <v>0</v>
      </c>
      <c r="F51" s="673">
        <v>12.5</v>
      </c>
      <c r="G51" s="673">
        <v>0</v>
      </c>
      <c r="H51" s="674"/>
    </row>
    <row r="52" spans="1:8" s="114" customFormat="1" ht="12">
      <c r="A52" s="569">
        <v>750</v>
      </c>
      <c r="B52" s="569"/>
      <c r="C52" s="569"/>
      <c r="D52" s="579" t="s">
        <v>46</v>
      </c>
      <c r="E52" s="669">
        <f>E53+E55+E61+E64</f>
        <v>310920</v>
      </c>
      <c r="F52" s="677">
        <f>F53+F55+F61+F64</f>
        <v>189739.43</v>
      </c>
      <c r="G52" s="677">
        <v>0</v>
      </c>
      <c r="H52" s="671">
        <f t="shared" ref="H52:H56" si="4">F52/E52*100</f>
        <v>61.02516081307089</v>
      </c>
    </row>
    <row r="53" spans="1:8" s="114" customFormat="1" ht="12">
      <c r="A53" s="719" t="s">
        <v>27</v>
      </c>
      <c r="B53" s="491">
        <v>75011</v>
      </c>
      <c r="C53" s="491"/>
      <c r="D53" s="424" t="s">
        <v>91</v>
      </c>
      <c r="E53" s="675">
        <f>E54</f>
        <v>101500</v>
      </c>
      <c r="F53" s="673">
        <f>F54</f>
        <v>54680</v>
      </c>
      <c r="G53" s="673">
        <v>0</v>
      </c>
      <c r="H53" s="674">
        <f t="shared" si="4"/>
        <v>53.871921182266014</v>
      </c>
    </row>
    <row r="54" spans="1:8" s="114" customFormat="1" ht="33" customHeight="1">
      <c r="A54" s="720"/>
      <c r="B54" s="491"/>
      <c r="C54" s="573">
        <v>2110</v>
      </c>
      <c r="D54" s="424" t="s">
        <v>80</v>
      </c>
      <c r="E54" s="675">
        <v>101500</v>
      </c>
      <c r="F54" s="673">
        <v>54680</v>
      </c>
      <c r="G54" s="673">
        <v>0</v>
      </c>
      <c r="H54" s="674">
        <f t="shared" si="4"/>
        <v>53.871921182266014</v>
      </c>
    </row>
    <row r="55" spans="1:8" s="114" customFormat="1" ht="12">
      <c r="A55" s="720"/>
      <c r="B55" s="491">
        <v>75020</v>
      </c>
      <c r="C55" s="491"/>
      <c r="D55" s="424" t="s">
        <v>92</v>
      </c>
      <c r="E55" s="675">
        <f>E56+E57+E58+E59+E60</f>
        <v>186420</v>
      </c>
      <c r="F55" s="673">
        <f>SUM(F56:F60)</f>
        <v>109059.43</v>
      </c>
      <c r="G55" s="673">
        <v>0</v>
      </c>
      <c r="H55" s="674">
        <f t="shared" si="4"/>
        <v>58.502000858277</v>
      </c>
    </row>
    <row r="56" spans="1:8" s="114" customFormat="1" ht="12">
      <c r="A56" s="720"/>
      <c r="B56" s="719"/>
      <c r="C56" s="416" t="s">
        <v>52</v>
      </c>
      <c r="D56" s="434" t="s">
        <v>53</v>
      </c>
      <c r="E56" s="675">
        <v>16420</v>
      </c>
      <c r="F56" s="673">
        <v>1161.07</v>
      </c>
      <c r="G56" s="673">
        <v>0</v>
      </c>
      <c r="H56" s="674">
        <f t="shared" si="4"/>
        <v>7.0710718635809977</v>
      </c>
    </row>
    <row r="57" spans="1:8" s="114" customFormat="1" ht="12">
      <c r="A57" s="720"/>
      <c r="B57" s="720"/>
      <c r="C57" s="416" t="s">
        <v>64</v>
      </c>
      <c r="D57" s="424" t="s">
        <v>74</v>
      </c>
      <c r="E57" s="675">
        <v>0</v>
      </c>
      <c r="F57" s="673">
        <v>308.86</v>
      </c>
      <c r="G57" s="673">
        <v>0</v>
      </c>
      <c r="H57" s="674"/>
    </row>
    <row r="58" spans="1:8" s="114" customFormat="1" ht="12">
      <c r="A58" s="720"/>
      <c r="B58" s="720"/>
      <c r="C58" s="416" t="s">
        <v>71</v>
      </c>
      <c r="D58" s="424" t="s">
        <v>73</v>
      </c>
      <c r="E58" s="675">
        <v>0</v>
      </c>
      <c r="F58" s="673">
        <v>11884.08</v>
      </c>
      <c r="G58" s="673">
        <v>0</v>
      </c>
      <c r="H58" s="674"/>
    </row>
    <row r="59" spans="1:8" s="114" customFormat="1" ht="33.75">
      <c r="A59" s="720"/>
      <c r="B59" s="720"/>
      <c r="C59" s="573">
        <v>2440</v>
      </c>
      <c r="D59" s="583" t="s">
        <v>156</v>
      </c>
      <c r="E59" s="675">
        <v>170000</v>
      </c>
      <c r="F59" s="673">
        <v>95420.3</v>
      </c>
      <c r="G59" s="673">
        <v>0</v>
      </c>
      <c r="H59" s="674">
        <f t="shared" ref="H59:H67" si="5">F59/E59*100</f>
        <v>56.129588235294115</v>
      </c>
    </row>
    <row r="60" spans="1:8" s="114" customFormat="1" ht="33.75">
      <c r="A60" s="720"/>
      <c r="B60" s="721"/>
      <c r="C60" s="573">
        <v>2707</v>
      </c>
      <c r="D60" s="583" t="s">
        <v>449</v>
      </c>
      <c r="E60" s="675">
        <v>0</v>
      </c>
      <c r="F60" s="673">
        <v>285.12</v>
      </c>
      <c r="G60" s="673">
        <v>0</v>
      </c>
      <c r="H60" s="674"/>
    </row>
    <row r="61" spans="1:8" s="114" customFormat="1" ht="12">
      <c r="A61" s="720"/>
      <c r="B61" s="491">
        <v>75045</v>
      </c>
      <c r="C61" s="491"/>
      <c r="D61" s="424" t="s">
        <v>93</v>
      </c>
      <c r="E61" s="675">
        <f>E62+E63</f>
        <v>18000</v>
      </c>
      <c r="F61" s="673">
        <f>F62+F63</f>
        <v>16000</v>
      </c>
      <c r="G61" s="673">
        <v>0</v>
      </c>
      <c r="H61" s="674">
        <f t="shared" si="5"/>
        <v>88.888888888888886</v>
      </c>
    </row>
    <row r="62" spans="1:8" s="114" customFormat="1" ht="34.5" customHeight="1">
      <c r="A62" s="720"/>
      <c r="B62" s="710"/>
      <c r="C62" s="573">
        <v>2110</v>
      </c>
      <c r="D62" s="424" t="s">
        <v>80</v>
      </c>
      <c r="E62" s="675">
        <v>16000</v>
      </c>
      <c r="F62" s="673">
        <v>16000</v>
      </c>
      <c r="G62" s="673">
        <v>0</v>
      </c>
      <c r="H62" s="674">
        <f t="shared" si="5"/>
        <v>100</v>
      </c>
    </row>
    <row r="63" spans="1:8" s="114" customFormat="1" ht="36" customHeight="1">
      <c r="A63" s="720"/>
      <c r="B63" s="710"/>
      <c r="C63" s="573">
        <v>2120</v>
      </c>
      <c r="D63" s="424" t="s">
        <v>39</v>
      </c>
      <c r="E63" s="675">
        <v>2000</v>
      </c>
      <c r="F63" s="673">
        <v>0</v>
      </c>
      <c r="G63" s="673">
        <v>0</v>
      </c>
      <c r="H63" s="674">
        <f t="shared" si="5"/>
        <v>0</v>
      </c>
    </row>
    <row r="64" spans="1:8" s="114" customFormat="1" ht="11.25" customHeight="1">
      <c r="A64" s="720"/>
      <c r="B64" s="573">
        <v>75075</v>
      </c>
      <c r="C64" s="573"/>
      <c r="D64" s="424" t="s">
        <v>161</v>
      </c>
      <c r="E64" s="675">
        <v>5000</v>
      </c>
      <c r="F64" s="673">
        <f>F65</f>
        <v>10000</v>
      </c>
      <c r="G64" s="673">
        <v>0</v>
      </c>
      <c r="H64" s="674">
        <f t="shared" si="5"/>
        <v>200</v>
      </c>
    </row>
    <row r="65" spans="1:8" s="114" customFormat="1" ht="32.25" customHeight="1">
      <c r="A65" s="721"/>
      <c r="B65" s="573"/>
      <c r="C65" s="573">
        <v>2310</v>
      </c>
      <c r="D65" s="583" t="s">
        <v>150</v>
      </c>
      <c r="E65" s="675">
        <v>5000</v>
      </c>
      <c r="F65" s="673">
        <v>10000</v>
      </c>
      <c r="G65" s="673">
        <v>0</v>
      </c>
      <c r="H65" s="674"/>
    </row>
    <row r="66" spans="1:8" s="114" customFormat="1" ht="21">
      <c r="A66" s="578">
        <v>754</v>
      </c>
      <c r="B66" s="578"/>
      <c r="C66" s="578"/>
      <c r="D66" s="579" t="s">
        <v>47</v>
      </c>
      <c r="E66" s="669">
        <f>E67+E71</f>
        <v>2692212</v>
      </c>
      <c r="F66" s="677">
        <f>F67+F71</f>
        <v>1654329.0499999998</v>
      </c>
      <c r="G66" s="677">
        <v>0</v>
      </c>
      <c r="H66" s="671">
        <f t="shared" si="5"/>
        <v>61.448691633496907</v>
      </c>
    </row>
    <row r="67" spans="1:8" s="114" customFormat="1" ht="11.25" customHeight="1">
      <c r="A67" s="702" t="s">
        <v>27</v>
      </c>
      <c r="B67" s="573">
        <v>75411</v>
      </c>
      <c r="C67" s="573"/>
      <c r="D67" s="424" t="s">
        <v>55</v>
      </c>
      <c r="E67" s="675">
        <f>SUM(E68:E70)</f>
        <v>2686923</v>
      </c>
      <c r="F67" s="673">
        <f>F69+F70+F68</f>
        <v>1649040.3699999999</v>
      </c>
      <c r="G67" s="673">
        <v>0</v>
      </c>
      <c r="H67" s="674">
        <f t="shared" si="5"/>
        <v>61.372818275774918</v>
      </c>
    </row>
    <row r="68" spans="1:8" s="114" customFormat="1" ht="12">
      <c r="A68" s="703"/>
      <c r="B68" s="710"/>
      <c r="C68" s="575" t="s">
        <v>64</v>
      </c>
      <c r="D68" s="424" t="s">
        <v>74</v>
      </c>
      <c r="E68" s="675">
        <v>0</v>
      </c>
      <c r="F68" s="673">
        <v>3873.64</v>
      </c>
      <c r="G68" s="673">
        <v>0</v>
      </c>
      <c r="H68" s="674"/>
    </row>
    <row r="69" spans="1:8" s="114" customFormat="1" ht="34.5" customHeight="1">
      <c r="A69" s="703"/>
      <c r="B69" s="710"/>
      <c r="C69" s="573">
        <v>2110</v>
      </c>
      <c r="D69" s="424" t="s">
        <v>80</v>
      </c>
      <c r="E69" s="675">
        <v>2686923</v>
      </c>
      <c r="F69" s="673">
        <v>1645162</v>
      </c>
      <c r="G69" s="673">
        <v>0</v>
      </c>
      <c r="H69" s="674">
        <f t="shared" ref="H69:H72" si="6">F69/E69*100</f>
        <v>61.228475843930028</v>
      </c>
    </row>
    <row r="70" spans="1:8" s="114" customFormat="1" ht="35.25" customHeight="1">
      <c r="A70" s="703"/>
      <c r="B70" s="710"/>
      <c r="C70" s="573">
        <v>2360</v>
      </c>
      <c r="D70" s="424" t="s">
        <v>148</v>
      </c>
      <c r="E70" s="675">
        <v>0</v>
      </c>
      <c r="F70" s="673">
        <v>4.7300000000000004</v>
      </c>
      <c r="G70" s="673">
        <v>0</v>
      </c>
      <c r="H70" s="674"/>
    </row>
    <row r="71" spans="1:8" s="114" customFormat="1" ht="12">
      <c r="A71" s="703"/>
      <c r="B71" s="573">
        <v>75421</v>
      </c>
      <c r="C71" s="573"/>
      <c r="D71" s="424" t="s">
        <v>310</v>
      </c>
      <c r="E71" s="675">
        <v>5289</v>
      </c>
      <c r="F71" s="673">
        <f>F72</f>
        <v>5288.68</v>
      </c>
      <c r="G71" s="673">
        <v>0</v>
      </c>
      <c r="H71" s="674">
        <f t="shared" si="6"/>
        <v>99.993949706938935</v>
      </c>
    </row>
    <row r="72" spans="1:8" s="114" customFormat="1" ht="45">
      <c r="A72" s="704"/>
      <c r="B72" s="573"/>
      <c r="C72" s="573">
        <v>2310</v>
      </c>
      <c r="D72" s="700" t="s">
        <v>150</v>
      </c>
      <c r="E72" s="675">
        <v>5289</v>
      </c>
      <c r="F72" s="673">
        <v>5288.68</v>
      </c>
      <c r="G72" s="673">
        <v>0</v>
      </c>
      <c r="H72" s="674">
        <f t="shared" si="6"/>
        <v>99.993949706938935</v>
      </c>
    </row>
    <row r="73" spans="1:8" s="114" customFormat="1" ht="42">
      <c r="A73" s="584">
        <v>756</v>
      </c>
      <c r="B73" s="578"/>
      <c r="C73" s="578"/>
      <c r="D73" s="579" t="s">
        <v>76</v>
      </c>
      <c r="E73" s="669">
        <f>E74+E82</f>
        <v>5143439</v>
      </c>
      <c r="F73" s="670">
        <f>F74+F82</f>
        <v>2628453.0099999998</v>
      </c>
      <c r="G73" s="670">
        <v>0</v>
      </c>
      <c r="H73" s="671">
        <f t="shared" ref="H73:H97" si="7">F73/E73*100</f>
        <v>51.10302678810811</v>
      </c>
    </row>
    <row r="74" spans="1:8" s="114" customFormat="1" ht="31.5">
      <c r="A74" s="702" t="s">
        <v>27</v>
      </c>
      <c r="B74" s="585">
        <v>75618</v>
      </c>
      <c r="C74" s="585"/>
      <c r="D74" s="586" t="s">
        <v>311</v>
      </c>
      <c r="E74" s="681">
        <f>E75+E78</f>
        <v>842000</v>
      </c>
      <c r="F74" s="682">
        <f>F75+F78</f>
        <v>603236.67999999993</v>
      </c>
      <c r="G74" s="673">
        <v>0</v>
      </c>
      <c r="H74" s="674">
        <f t="shared" si="7"/>
        <v>71.64331116389549</v>
      </c>
    </row>
    <row r="75" spans="1:8" s="114" customFormat="1" ht="12">
      <c r="A75" s="703"/>
      <c r="B75" s="726"/>
      <c r="C75" s="587"/>
      <c r="D75" s="588" t="s">
        <v>307</v>
      </c>
      <c r="E75" s="683">
        <f>E76+E77</f>
        <v>700000</v>
      </c>
      <c r="F75" s="684">
        <f>F76+F77</f>
        <v>459134.82999999996</v>
      </c>
      <c r="G75" s="673">
        <v>0</v>
      </c>
      <c r="H75" s="685">
        <f t="shared" si="7"/>
        <v>65.590689999999995</v>
      </c>
    </row>
    <row r="76" spans="1:8" s="114" customFormat="1" ht="12">
      <c r="A76" s="703"/>
      <c r="B76" s="727"/>
      <c r="C76" s="589" t="s">
        <v>33</v>
      </c>
      <c r="D76" s="590" t="s">
        <v>34</v>
      </c>
      <c r="E76" s="686">
        <v>700000</v>
      </c>
      <c r="F76" s="687">
        <v>446975.1</v>
      </c>
      <c r="G76" s="673">
        <v>0</v>
      </c>
      <c r="H76" s="674">
        <f t="shared" si="7"/>
        <v>63.853585714285707</v>
      </c>
    </row>
    <row r="77" spans="1:8" s="114" customFormat="1" ht="12">
      <c r="A77" s="703"/>
      <c r="B77" s="727"/>
      <c r="C77" s="589" t="s">
        <v>52</v>
      </c>
      <c r="D77" s="434" t="s">
        <v>53</v>
      </c>
      <c r="E77" s="686"/>
      <c r="F77" s="687">
        <v>12159.73</v>
      </c>
      <c r="G77" s="673">
        <v>0</v>
      </c>
      <c r="H77" s="674"/>
    </row>
    <row r="78" spans="1:8" s="114" customFormat="1" ht="12">
      <c r="A78" s="703"/>
      <c r="B78" s="727"/>
      <c r="C78" s="589"/>
      <c r="D78" s="592" t="s">
        <v>443</v>
      </c>
      <c r="E78" s="688">
        <f>E79+E80+E81</f>
        <v>142000</v>
      </c>
      <c r="F78" s="689">
        <f>F79+F80+F81</f>
        <v>144101.84999999998</v>
      </c>
      <c r="G78" s="673">
        <v>0</v>
      </c>
      <c r="H78" s="685">
        <f t="shared" si="7"/>
        <v>101.48017605633801</v>
      </c>
    </row>
    <row r="79" spans="1:8" s="114" customFormat="1" ht="35.25" customHeight="1">
      <c r="A79" s="703"/>
      <c r="B79" s="727"/>
      <c r="C79" s="589" t="s">
        <v>312</v>
      </c>
      <c r="D79" s="590" t="s">
        <v>313</v>
      </c>
      <c r="E79" s="686">
        <v>139000</v>
      </c>
      <c r="F79" s="687">
        <v>141973.85999999999</v>
      </c>
      <c r="G79" s="673">
        <v>0</v>
      </c>
      <c r="H79" s="674">
        <f t="shared" si="7"/>
        <v>102.13946762589927</v>
      </c>
    </row>
    <row r="80" spans="1:8" s="114" customFormat="1" ht="45" customHeight="1">
      <c r="A80" s="703"/>
      <c r="B80" s="727"/>
      <c r="C80" s="593" t="s">
        <v>36</v>
      </c>
      <c r="D80" s="424" t="s">
        <v>209</v>
      </c>
      <c r="E80" s="686">
        <v>3000</v>
      </c>
      <c r="F80" s="687">
        <v>1950</v>
      </c>
      <c r="G80" s="673">
        <v>0</v>
      </c>
      <c r="H80" s="674">
        <f t="shared" si="7"/>
        <v>65</v>
      </c>
    </row>
    <row r="81" spans="1:8" s="114" customFormat="1" ht="22.5">
      <c r="A81" s="703"/>
      <c r="B81" s="728"/>
      <c r="C81" s="594" t="s">
        <v>442</v>
      </c>
      <c r="D81" s="424" t="s">
        <v>448</v>
      </c>
      <c r="E81" s="686"/>
      <c r="F81" s="687">
        <v>177.99</v>
      </c>
      <c r="G81" s="673">
        <v>0</v>
      </c>
      <c r="H81" s="674"/>
    </row>
    <row r="82" spans="1:8" s="114" customFormat="1" ht="22.5">
      <c r="A82" s="703"/>
      <c r="B82" s="595">
        <v>75622</v>
      </c>
      <c r="C82" s="479"/>
      <c r="D82" s="596" t="s">
        <v>95</v>
      </c>
      <c r="E82" s="690">
        <f>E83+E84</f>
        <v>4301439</v>
      </c>
      <c r="F82" s="691">
        <f>F83+F84</f>
        <v>2025216.33</v>
      </c>
      <c r="G82" s="673">
        <v>0</v>
      </c>
      <c r="H82" s="674">
        <f t="shared" si="7"/>
        <v>47.082298040260483</v>
      </c>
    </row>
    <row r="83" spans="1:8" s="114" customFormat="1" ht="12">
      <c r="A83" s="703"/>
      <c r="B83" s="722"/>
      <c r="C83" s="575" t="s">
        <v>31</v>
      </c>
      <c r="D83" s="434" t="s">
        <v>30</v>
      </c>
      <c r="E83" s="675">
        <v>4151439</v>
      </c>
      <c r="F83" s="673">
        <v>1929235</v>
      </c>
      <c r="G83" s="673">
        <v>0</v>
      </c>
      <c r="H83" s="674">
        <f t="shared" si="7"/>
        <v>46.471476516937862</v>
      </c>
    </row>
    <row r="84" spans="1:8" s="114" customFormat="1" ht="12">
      <c r="A84" s="704"/>
      <c r="B84" s="722"/>
      <c r="C84" s="575" t="s">
        <v>67</v>
      </c>
      <c r="D84" s="434" t="s">
        <v>68</v>
      </c>
      <c r="E84" s="675">
        <v>150000</v>
      </c>
      <c r="F84" s="673">
        <v>95981.33</v>
      </c>
      <c r="G84" s="673">
        <v>0</v>
      </c>
      <c r="H84" s="674">
        <f t="shared" si="7"/>
        <v>63.987553333333338</v>
      </c>
    </row>
    <row r="85" spans="1:8" s="114" customFormat="1" ht="12">
      <c r="A85" s="598">
        <v>758</v>
      </c>
      <c r="B85" s="578"/>
      <c r="C85" s="576"/>
      <c r="D85" s="577" t="s">
        <v>48</v>
      </c>
      <c r="E85" s="669">
        <f>E86+E88+E90+E92</f>
        <v>21136201</v>
      </c>
      <c r="F85" s="677">
        <f>F86+F88+F90+F92</f>
        <v>12379549.710000001</v>
      </c>
      <c r="G85" s="677">
        <v>0</v>
      </c>
      <c r="H85" s="680">
        <f t="shared" si="7"/>
        <v>58.570363283354475</v>
      </c>
    </row>
    <row r="86" spans="1:8" s="114" customFormat="1" ht="12">
      <c r="A86" s="710"/>
      <c r="B86" s="573">
        <v>75801</v>
      </c>
      <c r="C86" s="575"/>
      <c r="D86" s="434" t="s">
        <v>96</v>
      </c>
      <c r="E86" s="675">
        <f>E87</f>
        <v>15002419</v>
      </c>
      <c r="F86" s="673">
        <f>F87</f>
        <v>9232256</v>
      </c>
      <c r="G86" s="673">
        <v>0</v>
      </c>
      <c r="H86" s="674">
        <f t="shared" si="7"/>
        <v>61.538449232753734</v>
      </c>
    </row>
    <row r="87" spans="1:8" s="114" customFormat="1" ht="12">
      <c r="A87" s="710"/>
      <c r="B87" s="573"/>
      <c r="C87" s="573">
        <v>2920</v>
      </c>
      <c r="D87" s="434" t="s">
        <v>32</v>
      </c>
      <c r="E87" s="675">
        <v>15002419</v>
      </c>
      <c r="F87" s="673">
        <v>9232256</v>
      </c>
      <c r="G87" s="673">
        <v>0</v>
      </c>
      <c r="H87" s="674">
        <f t="shared" si="7"/>
        <v>61.538449232753734</v>
      </c>
    </row>
    <row r="88" spans="1:8" s="114" customFormat="1" ht="12">
      <c r="A88" s="710"/>
      <c r="B88" s="573">
        <v>75803</v>
      </c>
      <c r="C88" s="575"/>
      <c r="D88" s="434" t="s">
        <v>97</v>
      </c>
      <c r="E88" s="675">
        <f>E89</f>
        <v>4950372</v>
      </c>
      <c r="F88" s="673">
        <f>F89</f>
        <v>2062655</v>
      </c>
      <c r="G88" s="673">
        <v>0</v>
      </c>
      <c r="H88" s="674">
        <f t="shared" si="7"/>
        <v>41.666666666666671</v>
      </c>
    </row>
    <row r="89" spans="1:8" s="114" customFormat="1" ht="12">
      <c r="A89" s="710"/>
      <c r="B89" s="573"/>
      <c r="C89" s="573">
        <v>2920</v>
      </c>
      <c r="D89" s="434" t="s">
        <v>32</v>
      </c>
      <c r="E89" s="675">
        <v>4950372</v>
      </c>
      <c r="F89" s="673">
        <v>2062655</v>
      </c>
      <c r="G89" s="673">
        <v>0</v>
      </c>
      <c r="H89" s="674">
        <f t="shared" si="7"/>
        <v>41.666666666666671</v>
      </c>
    </row>
    <row r="90" spans="1:8" s="114" customFormat="1" ht="12">
      <c r="A90" s="710"/>
      <c r="B90" s="573">
        <v>75814</v>
      </c>
      <c r="C90" s="573"/>
      <c r="D90" s="434" t="s">
        <v>98</v>
      </c>
      <c r="E90" s="675">
        <f>E91</f>
        <v>37477</v>
      </c>
      <c r="F90" s="673">
        <f>F91</f>
        <v>69143.710000000006</v>
      </c>
      <c r="G90" s="673">
        <v>0</v>
      </c>
      <c r="H90" s="674">
        <f t="shared" si="7"/>
        <v>184.49638444912881</v>
      </c>
    </row>
    <row r="91" spans="1:8" s="114" customFormat="1" ht="12">
      <c r="A91" s="710"/>
      <c r="B91" s="573"/>
      <c r="C91" s="575" t="s">
        <v>64</v>
      </c>
      <c r="D91" s="434" t="s">
        <v>74</v>
      </c>
      <c r="E91" s="675">
        <v>37477</v>
      </c>
      <c r="F91" s="673">
        <v>69143.710000000006</v>
      </c>
      <c r="G91" s="673">
        <v>0</v>
      </c>
      <c r="H91" s="674">
        <f t="shared" si="7"/>
        <v>184.49638444912881</v>
      </c>
    </row>
    <row r="92" spans="1:8" s="114" customFormat="1" ht="12">
      <c r="A92" s="710"/>
      <c r="B92" s="573">
        <v>75832</v>
      </c>
      <c r="C92" s="575"/>
      <c r="D92" s="434" t="s">
        <v>99</v>
      </c>
      <c r="E92" s="675">
        <f>E93</f>
        <v>1145933</v>
      </c>
      <c r="F92" s="673">
        <f>F93</f>
        <v>1015495</v>
      </c>
      <c r="G92" s="673">
        <v>0</v>
      </c>
      <c r="H92" s="674">
        <f t="shared" si="7"/>
        <v>88.617310087064425</v>
      </c>
    </row>
    <row r="93" spans="1:8" s="114" customFormat="1" ht="12">
      <c r="A93" s="710"/>
      <c r="B93" s="573"/>
      <c r="C93" s="573">
        <v>2920</v>
      </c>
      <c r="D93" s="434" t="s">
        <v>32</v>
      </c>
      <c r="E93" s="675">
        <v>1145933</v>
      </c>
      <c r="F93" s="673">
        <v>1015495</v>
      </c>
      <c r="G93" s="673">
        <v>0</v>
      </c>
      <c r="H93" s="674">
        <f t="shared" si="7"/>
        <v>88.617310087064425</v>
      </c>
    </row>
    <row r="94" spans="1:8" s="114" customFormat="1" ht="12">
      <c r="A94" s="584">
        <v>801</v>
      </c>
      <c r="B94" s="578"/>
      <c r="C94" s="578"/>
      <c r="D94" s="577" t="s">
        <v>69</v>
      </c>
      <c r="E94" s="669">
        <f>E95+E99+E117+E124+E144</f>
        <v>160937</v>
      </c>
      <c r="F94" s="677">
        <f>SUM(F95+F99+F117+F124+F144)</f>
        <v>148190.9</v>
      </c>
      <c r="G94" s="677">
        <f>SUM(G95+G99+G117+G124+G144)</f>
        <v>169.33</v>
      </c>
      <c r="H94" s="680">
        <f>(F94+G94)/E94*100</f>
        <v>92.185283682434729</v>
      </c>
    </row>
    <row r="95" spans="1:8" s="114" customFormat="1" ht="12">
      <c r="A95" s="702"/>
      <c r="B95" s="599">
        <v>80102</v>
      </c>
      <c r="C95" s="573"/>
      <c r="D95" s="434" t="s">
        <v>56</v>
      </c>
      <c r="E95" s="675">
        <f>SUM(E96:E97)</f>
        <v>5650</v>
      </c>
      <c r="F95" s="673">
        <f>SUM(F96:F98)</f>
        <v>4568.53</v>
      </c>
      <c r="G95" s="673">
        <v>0</v>
      </c>
      <c r="H95" s="674">
        <f t="shared" si="7"/>
        <v>80.858938053097347</v>
      </c>
    </row>
    <row r="96" spans="1:8" s="114" customFormat="1" ht="45.75" customHeight="1">
      <c r="A96" s="703"/>
      <c r="B96" s="723"/>
      <c r="C96" s="575" t="s">
        <v>36</v>
      </c>
      <c r="D96" s="424" t="s">
        <v>209</v>
      </c>
      <c r="E96" s="675">
        <v>5200</v>
      </c>
      <c r="F96" s="673">
        <v>3800</v>
      </c>
      <c r="G96" s="673">
        <v>0</v>
      </c>
      <c r="H96" s="674">
        <f t="shared" si="7"/>
        <v>73.076923076923066</v>
      </c>
    </row>
    <row r="97" spans="1:8" s="114" customFormat="1" ht="12">
      <c r="A97" s="703"/>
      <c r="B97" s="724"/>
      <c r="C97" s="575" t="s">
        <v>64</v>
      </c>
      <c r="D97" s="424" t="s">
        <v>74</v>
      </c>
      <c r="E97" s="675">
        <v>450</v>
      </c>
      <c r="F97" s="673">
        <v>438.53</v>
      </c>
      <c r="G97" s="673">
        <v>0</v>
      </c>
      <c r="H97" s="674">
        <f t="shared" si="7"/>
        <v>97.451111111111118</v>
      </c>
    </row>
    <row r="98" spans="1:8" s="114" customFormat="1" ht="12">
      <c r="A98" s="703"/>
      <c r="B98" s="725"/>
      <c r="C98" s="575" t="s">
        <v>71</v>
      </c>
      <c r="D98" s="424" t="s">
        <v>73</v>
      </c>
      <c r="E98" s="675">
        <v>0</v>
      </c>
      <c r="F98" s="673">
        <v>330</v>
      </c>
      <c r="G98" s="673">
        <v>0</v>
      </c>
      <c r="H98" s="674"/>
    </row>
    <row r="99" spans="1:8" s="114" customFormat="1" ht="12">
      <c r="A99" s="703"/>
      <c r="B99" s="599">
        <v>80120</v>
      </c>
      <c r="C99" s="573"/>
      <c r="D99" s="434" t="s">
        <v>62</v>
      </c>
      <c r="E99" s="692">
        <f>E100+E107+E113</f>
        <v>63089</v>
      </c>
      <c r="F99" s="693">
        <f>F100+F107+F113</f>
        <v>35441.430000000008</v>
      </c>
      <c r="G99" s="693">
        <f>G100+G107+G113</f>
        <v>169.33</v>
      </c>
      <c r="H99" s="685">
        <f>(F99+G99)/E99*100</f>
        <v>56.445275721599664</v>
      </c>
    </row>
    <row r="100" spans="1:8" s="114" customFormat="1" ht="12">
      <c r="A100" s="703"/>
      <c r="B100" s="702"/>
      <c r="C100" s="573"/>
      <c r="D100" s="602" t="s">
        <v>280</v>
      </c>
      <c r="E100" s="692">
        <f>E101+E102+E103+E105+E104+E106</f>
        <v>42660</v>
      </c>
      <c r="F100" s="693">
        <f>F101+F102+F103+F105+F104+F106</f>
        <v>25304.540000000005</v>
      </c>
      <c r="G100" s="693">
        <f>G101+G102+G103+G105+G104+G106</f>
        <v>169.33</v>
      </c>
      <c r="H100" s="685">
        <f>(F100+G100)/E100*100</f>
        <v>59.713713080168795</v>
      </c>
    </row>
    <row r="101" spans="1:8" s="114" customFormat="1" ht="12">
      <c r="A101" s="703"/>
      <c r="B101" s="703"/>
      <c r="C101" s="575" t="s">
        <v>52</v>
      </c>
      <c r="D101" s="434" t="s">
        <v>53</v>
      </c>
      <c r="E101" s="675">
        <v>500</v>
      </c>
      <c r="F101" s="673">
        <v>204</v>
      </c>
      <c r="G101" s="673">
        <v>0</v>
      </c>
      <c r="H101" s="674">
        <f t="shared" ref="H101:H102" si="8">F101/E101*100</f>
        <v>40.799999999999997</v>
      </c>
    </row>
    <row r="102" spans="1:8" s="114" customFormat="1" ht="45" customHeight="1">
      <c r="A102" s="703"/>
      <c r="B102" s="703"/>
      <c r="C102" s="575" t="s">
        <v>36</v>
      </c>
      <c r="D102" s="424" t="s">
        <v>209</v>
      </c>
      <c r="E102" s="675">
        <v>40000</v>
      </c>
      <c r="F102" s="673">
        <v>22644.47</v>
      </c>
      <c r="G102" s="673">
        <v>0</v>
      </c>
      <c r="H102" s="674">
        <f t="shared" si="8"/>
        <v>56.611175000000003</v>
      </c>
    </row>
    <row r="103" spans="1:8" s="114" customFormat="1" ht="12">
      <c r="A103" s="703"/>
      <c r="B103" s="703"/>
      <c r="C103" s="575" t="s">
        <v>70</v>
      </c>
      <c r="D103" s="424" t="s">
        <v>72</v>
      </c>
      <c r="E103" s="675">
        <v>1500</v>
      </c>
      <c r="F103" s="673">
        <v>1768.2</v>
      </c>
      <c r="G103" s="673">
        <v>0</v>
      </c>
      <c r="H103" s="674"/>
    </row>
    <row r="104" spans="1:8" s="114" customFormat="1" ht="13.5" customHeight="1">
      <c r="A104" s="703"/>
      <c r="B104" s="703"/>
      <c r="C104" s="575" t="s">
        <v>444</v>
      </c>
      <c r="D104" s="424" t="s">
        <v>450</v>
      </c>
      <c r="E104" s="675"/>
      <c r="F104" s="673">
        <v>0</v>
      </c>
      <c r="G104" s="673">
        <v>169.33</v>
      </c>
      <c r="H104" s="685"/>
    </row>
    <row r="105" spans="1:8" s="114" customFormat="1" ht="12">
      <c r="A105" s="703"/>
      <c r="B105" s="703"/>
      <c r="C105" s="575" t="s">
        <v>64</v>
      </c>
      <c r="D105" s="424" t="s">
        <v>74</v>
      </c>
      <c r="E105" s="675">
        <v>360</v>
      </c>
      <c r="F105" s="673">
        <v>531.79</v>
      </c>
      <c r="G105" s="673">
        <v>0</v>
      </c>
      <c r="H105" s="674">
        <f t="shared" ref="H105:H113" si="9">F105/E105*100</f>
        <v>147.71944444444443</v>
      </c>
    </row>
    <row r="106" spans="1:8" s="114" customFormat="1" ht="12">
      <c r="A106" s="703"/>
      <c r="B106" s="703"/>
      <c r="C106" s="575" t="s">
        <v>71</v>
      </c>
      <c r="D106" s="424" t="s">
        <v>73</v>
      </c>
      <c r="E106" s="675">
        <v>300</v>
      </c>
      <c r="F106" s="673">
        <v>156.08000000000001</v>
      </c>
      <c r="G106" s="673">
        <v>0</v>
      </c>
      <c r="H106" s="674">
        <f t="shared" si="9"/>
        <v>52.026666666666664</v>
      </c>
    </row>
    <row r="107" spans="1:8" s="114" customFormat="1" ht="12">
      <c r="A107" s="703"/>
      <c r="B107" s="703"/>
      <c r="C107" s="573"/>
      <c r="D107" s="602" t="s">
        <v>284</v>
      </c>
      <c r="E107" s="692">
        <f>E108+E109+E110+E111+E112</f>
        <v>1446</v>
      </c>
      <c r="F107" s="693">
        <f>F108+F109+F110+F111+F112</f>
        <v>3646.5899999999997</v>
      </c>
      <c r="G107" s="673">
        <v>0</v>
      </c>
      <c r="H107" s="674">
        <f t="shared" si="9"/>
        <v>252.18464730290452</v>
      </c>
    </row>
    <row r="108" spans="1:8" s="114" customFormat="1" ht="12">
      <c r="A108" s="703"/>
      <c r="B108" s="703"/>
      <c r="C108" s="575" t="s">
        <v>52</v>
      </c>
      <c r="D108" s="434" t="s">
        <v>53</v>
      </c>
      <c r="E108" s="675">
        <v>60</v>
      </c>
      <c r="F108" s="673">
        <v>52.2</v>
      </c>
      <c r="G108" s="673">
        <v>0</v>
      </c>
      <c r="H108" s="674">
        <f t="shared" si="9"/>
        <v>87</v>
      </c>
    </row>
    <row r="109" spans="1:8" s="114" customFormat="1" ht="45" customHeight="1">
      <c r="A109" s="703"/>
      <c r="B109" s="703"/>
      <c r="C109" s="575" t="s">
        <v>36</v>
      </c>
      <c r="D109" s="424" t="s">
        <v>209</v>
      </c>
      <c r="E109" s="675">
        <v>1200</v>
      </c>
      <c r="F109" s="673">
        <v>3465</v>
      </c>
      <c r="G109" s="673">
        <v>0</v>
      </c>
      <c r="H109" s="674">
        <f t="shared" si="9"/>
        <v>288.75</v>
      </c>
    </row>
    <row r="110" spans="1:8" s="114" customFormat="1" ht="12">
      <c r="A110" s="703"/>
      <c r="B110" s="703"/>
      <c r="C110" s="575" t="s">
        <v>64</v>
      </c>
      <c r="D110" s="424" t="s">
        <v>74</v>
      </c>
      <c r="E110" s="675">
        <v>54</v>
      </c>
      <c r="F110" s="673">
        <v>100.79</v>
      </c>
      <c r="G110" s="673">
        <v>0</v>
      </c>
      <c r="H110" s="674">
        <f t="shared" si="9"/>
        <v>186.64814814814815</v>
      </c>
    </row>
    <row r="111" spans="1:8" s="114" customFormat="1" ht="22.5">
      <c r="A111" s="703"/>
      <c r="B111" s="703"/>
      <c r="C111" s="575" t="s">
        <v>116</v>
      </c>
      <c r="D111" s="424" t="s">
        <v>188</v>
      </c>
      <c r="E111" s="675">
        <v>60</v>
      </c>
      <c r="F111" s="673">
        <v>0</v>
      </c>
      <c r="G111" s="673">
        <v>0</v>
      </c>
      <c r="H111" s="674">
        <f t="shared" si="9"/>
        <v>0</v>
      </c>
    </row>
    <row r="112" spans="1:8" s="114" customFormat="1" ht="12">
      <c r="A112" s="703"/>
      <c r="B112" s="703"/>
      <c r="C112" s="575" t="s">
        <v>71</v>
      </c>
      <c r="D112" s="424" t="s">
        <v>73</v>
      </c>
      <c r="E112" s="675">
        <v>72</v>
      </c>
      <c r="F112" s="673">
        <v>28.6</v>
      </c>
      <c r="G112" s="673">
        <v>0</v>
      </c>
      <c r="H112" s="674">
        <f t="shared" si="9"/>
        <v>39.722222222222229</v>
      </c>
    </row>
    <row r="113" spans="1:8" s="114" customFormat="1" ht="12">
      <c r="A113" s="703"/>
      <c r="B113" s="703"/>
      <c r="C113" s="575"/>
      <c r="D113" s="603" t="s">
        <v>307</v>
      </c>
      <c r="E113" s="692">
        <f>E115+E116</f>
        <v>18983</v>
      </c>
      <c r="F113" s="693">
        <f>F115+F116+F114</f>
        <v>6490.3</v>
      </c>
      <c r="G113" s="673">
        <v>0</v>
      </c>
      <c r="H113" s="674">
        <f t="shared" si="9"/>
        <v>34.190064794816415</v>
      </c>
    </row>
    <row r="114" spans="1:8" s="114" customFormat="1" ht="33.75">
      <c r="A114" s="703"/>
      <c r="B114" s="703"/>
      <c r="C114" s="575" t="s">
        <v>446</v>
      </c>
      <c r="D114" s="428" t="s">
        <v>451</v>
      </c>
      <c r="E114" s="692"/>
      <c r="F114" s="673">
        <v>1469.2</v>
      </c>
      <c r="G114" s="673">
        <v>0</v>
      </c>
      <c r="H114" s="674"/>
    </row>
    <row r="115" spans="1:8" s="114" customFormat="1" ht="33.75">
      <c r="A115" s="703"/>
      <c r="B115" s="703"/>
      <c r="C115" s="575">
        <v>2708</v>
      </c>
      <c r="D115" s="424" t="s">
        <v>314</v>
      </c>
      <c r="E115" s="675">
        <v>14844</v>
      </c>
      <c r="F115" s="673">
        <v>0</v>
      </c>
      <c r="G115" s="673">
        <v>0</v>
      </c>
      <c r="H115" s="674"/>
    </row>
    <row r="116" spans="1:8" s="114" customFormat="1" ht="36" customHeight="1">
      <c r="A116" s="703"/>
      <c r="B116" s="704"/>
      <c r="C116" s="575">
        <v>2910</v>
      </c>
      <c r="D116" s="424" t="s">
        <v>151</v>
      </c>
      <c r="E116" s="675">
        <v>4139</v>
      </c>
      <c r="F116" s="673">
        <v>5021.1000000000004</v>
      </c>
      <c r="G116" s="673">
        <v>0</v>
      </c>
      <c r="H116" s="674">
        <f t="shared" ref="H116:H146" si="10">F116/E116*100</f>
        <v>121.31191108963519</v>
      </c>
    </row>
    <row r="117" spans="1:8" s="114" customFormat="1" ht="13.5" customHeight="1">
      <c r="A117" s="703"/>
      <c r="B117" s="599">
        <v>80123</v>
      </c>
      <c r="C117" s="573"/>
      <c r="D117" s="434" t="s">
        <v>57</v>
      </c>
      <c r="E117" s="694">
        <f>SUM(E119:E123)</f>
        <v>482</v>
      </c>
      <c r="F117" s="695">
        <f>SUM(F119:F123)</f>
        <v>1215.45</v>
      </c>
      <c r="G117" s="673">
        <v>0</v>
      </c>
      <c r="H117" s="674">
        <f t="shared" si="10"/>
        <v>252.16804979253112</v>
      </c>
    </row>
    <row r="118" spans="1:8" s="114" customFormat="1" ht="12" customHeight="1">
      <c r="A118" s="703"/>
      <c r="B118" s="702"/>
      <c r="C118" s="573"/>
      <c r="D118" s="602" t="s">
        <v>284</v>
      </c>
      <c r="E118" s="692">
        <f>E119+E120+E121+E122+E123</f>
        <v>482</v>
      </c>
      <c r="F118" s="693">
        <f>F119+F120+F121+F122+F123</f>
        <v>1215.45</v>
      </c>
      <c r="G118" s="673">
        <v>0</v>
      </c>
      <c r="H118" s="685">
        <f t="shared" si="10"/>
        <v>252.16804979253112</v>
      </c>
    </row>
    <row r="119" spans="1:8" s="114" customFormat="1" ht="14.25" customHeight="1">
      <c r="A119" s="703"/>
      <c r="B119" s="703"/>
      <c r="C119" s="575" t="s">
        <v>52</v>
      </c>
      <c r="D119" s="434" t="s">
        <v>53</v>
      </c>
      <c r="E119" s="675">
        <v>20</v>
      </c>
      <c r="F119" s="673">
        <v>17.399999999999999</v>
      </c>
      <c r="G119" s="673">
        <v>0</v>
      </c>
      <c r="H119" s="674">
        <f t="shared" si="10"/>
        <v>86.999999999999986</v>
      </c>
    </row>
    <row r="120" spans="1:8" s="114" customFormat="1" ht="44.25" customHeight="1">
      <c r="A120" s="703"/>
      <c r="B120" s="703"/>
      <c r="C120" s="575" t="s">
        <v>36</v>
      </c>
      <c r="D120" s="424" t="s">
        <v>209</v>
      </c>
      <c r="E120" s="675">
        <v>400</v>
      </c>
      <c r="F120" s="673">
        <v>1154.96</v>
      </c>
      <c r="G120" s="673">
        <v>0</v>
      </c>
      <c r="H120" s="674">
        <f t="shared" si="10"/>
        <v>288.74</v>
      </c>
    </row>
    <row r="121" spans="1:8" s="114" customFormat="1" ht="12">
      <c r="A121" s="703"/>
      <c r="B121" s="703"/>
      <c r="C121" s="575" t="s">
        <v>64</v>
      </c>
      <c r="D121" s="424" t="s">
        <v>74</v>
      </c>
      <c r="E121" s="675">
        <v>18</v>
      </c>
      <c r="F121" s="673">
        <v>33.57</v>
      </c>
      <c r="G121" s="673">
        <v>0</v>
      </c>
      <c r="H121" s="674">
        <f t="shared" si="10"/>
        <v>186.5</v>
      </c>
    </row>
    <row r="122" spans="1:8" s="114" customFormat="1" ht="22.5">
      <c r="A122" s="703"/>
      <c r="B122" s="703"/>
      <c r="C122" s="575" t="s">
        <v>116</v>
      </c>
      <c r="D122" s="424" t="s">
        <v>188</v>
      </c>
      <c r="E122" s="675">
        <v>20</v>
      </c>
      <c r="F122" s="673">
        <v>0</v>
      </c>
      <c r="G122" s="673">
        <v>0</v>
      </c>
      <c r="H122" s="674">
        <f t="shared" si="10"/>
        <v>0</v>
      </c>
    </row>
    <row r="123" spans="1:8" s="114" customFormat="1" ht="12">
      <c r="A123" s="703"/>
      <c r="B123" s="704"/>
      <c r="C123" s="575" t="s">
        <v>71</v>
      </c>
      <c r="D123" s="424" t="s">
        <v>73</v>
      </c>
      <c r="E123" s="675">
        <v>24</v>
      </c>
      <c r="F123" s="673">
        <v>9.52</v>
      </c>
      <c r="G123" s="673">
        <v>0</v>
      </c>
      <c r="H123" s="674">
        <f t="shared" si="10"/>
        <v>39.666666666666664</v>
      </c>
    </row>
    <row r="124" spans="1:8" s="114" customFormat="1" ht="12">
      <c r="A124" s="703"/>
      <c r="B124" s="605">
        <v>80130</v>
      </c>
      <c r="C124" s="573"/>
      <c r="D124" s="434" t="s">
        <v>58</v>
      </c>
      <c r="E124" s="692">
        <f>E125+E131+E137+E141</f>
        <v>57013</v>
      </c>
      <c r="F124" s="693">
        <f>F125+F131+F137+F141</f>
        <v>41899.279999999992</v>
      </c>
      <c r="G124" s="673">
        <v>0</v>
      </c>
      <c r="H124" s="674">
        <f t="shared" si="10"/>
        <v>73.490747724203246</v>
      </c>
    </row>
    <row r="125" spans="1:8" s="114" customFormat="1" ht="12">
      <c r="A125" s="703"/>
      <c r="B125" s="702"/>
      <c r="C125" s="599"/>
      <c r="D125" s="602" t="s">
        <v>284</v>
      </c>
      <c r="E125" s="692">
        <f>E126+E127+E128+E129+E130</f>
        <v>482</v>
      </c>
      <c r="F125" s="693">
        <f>F126+F127+F128+F129+F130</f>
        <v>1215.45</v>
      </c>
      <c r="G125" s="673">
        <v>0</v>
      </c>
      <c r="H125" s="685">
        <f t="shared" si="10"/>
        <v>252.16804979253112</v>
      </c>
    </row>
    <row r="126" spans="1:8" s="114" customFormat="1" ht="12">
      <c r="A126" s="703"/>
      <c r="B126" s="703"/>
      <c r="C126" s="593" t="s">
        <v>52</v>
      </c>
      <c r="D126" s="434" t="s">
        <v>53</v>
      </c>
      <c r="E126" s="675">
        <v>20</v>
      </c>
      <c r="F126" s="673">
        <v>17.399999999999999</v>
      </c>
      <c r="G126" s="673">
        <v>0</v>
      </c>
      <c r="H126" s="674">
        <f t="shared" si="10"/>
        <v>86.999999999999986</v>
      </c>
    </row>
    <row r="127" spans="1:8" s="114" customFormat="1" ht="45" customHeight="1">
      <c r="A127" s="703"/>
      <c r="B127" s="703"/>
      <c r="C127" s="593" t="s">
        <v>36</v>
      </c>
      <c r="D127" s="424" t="s">
        <v>209</v>
      </c>
      <c r="E127" s="675">
        <v>400</v>
      </c>
      <c r="F127" s="673">
        <v>1154.96</v>
      </c>
      <c r="G127" s="673">
        <v>0</v>
      </c>
      <c r="H127" s="674">
        <f t="shared" si="10"/>
        <v>288.74</v>
      </c>
    </row>
    <row r="128" spans="1:8" s="114" customFormat="1" ht="12">
      <c r="A128" s="703"/>
      <c r="B128" s="703"/>
      <c r="C128" s="593" t="s">
        <v>64</v>
      </c>
      <c r="D128" s="424" t="s">
        <v>74</v>
      </c>
      <c r="E128" s="675">
        <v>18</v>
      </c>
      <c r="F128" s="673">
        <v>33.57</v>
      </c>
      <c r="G128" s="673">
        <v>0</v>
      </c>
      <c r="H128" s="674">
        <f t="shared" si="10"/>
        <v>186.5</v>
      </c>
    </row>
    <row r="129" spans="1:8" s="114" customFormat="1" ht="22.5">
      <c r="A129" s="703"/>
      <c r="B129" s="703"/>
      <c r="C129" s="593" t="s">
        <v>116</v>
      </c>
      <c r="D129" s="424" t="s">
        <v>188</v>
      </c>
      <c r="E129" s="675">
        <v>20</v>
      </c>
      <c r="F129" s="673">
        <v>0</v>
      </c>
      <c r="G129" s="673">
        <v>0</v>
      </c>
      <c r="H129" s="674">
        <f t="shared" si="10"/>
        <v>0</v>
      </c>
    </row>
    <row r="130" spans="1:8" s="114" customFormat="1" ht="12">
      <c r="A130" s="703"/>
      <c r="B130" s="703"/>
      <c r="C130" s="593" t="s">
        <v>71</v>
      </c>
      <c r="D130" s="424" t="s">
        <v>73</v>
      </c>
      <c r="E130" s="675">
        <v>24</v>
      </c>
      <c r="F130" s="673">
        <v>9.52</v>
      </c>
      <c r="G130" s="673">
        <v>0</v>
      </c>
      <c r="H130" s="674">
        <f t="shared" si="10"/>
        <v>39.666666666666664</v>
      </c>
    </row>
    <row r="131" spans="1:8" s="114" customFormat="1" ht="12">
      <c r="A131" s="703"/>
      <c r="B131" s="703"/>
      <c r="C131" s="593"/>
      <c r="D131" s="603" t="s">
        <v>281</v>
      </c>
      <c r="E131" s="692">
        <f>E132+E133+E134+E135+E136</f>
        <v>52783</v>
      </c>
      <c r="F131" s="693">
        <f>F132+F133+F134+F135+F136</f>
        <v>37856.449999999997</v>
      </c>
      <c r="G131" s="673">
        <v>0</v>
      </c>
      <c r="H131" s="685">
        <f t="shared" si="10"/>
        <v>71.720913930621606</v>
      </c>
    </row>
    <row r="132" spans="1:8" s="114" customFormat="1" ht="12">
      <c r="A132" s="703"/>
      <c r="B132" s="703"/>
      <c r="C132" s="593" t="s">
        <v>52</v>
      </c>
      <c r="D132" s="434" t="s">
        <v>53</v>
      </c>
      <c r="E132" s="675">
        <v>958</v>
      </c>
      <c r="F132" s="673">
        <v>390</v>
      </c>
      <c r="G132" s="673">
        <v>0</v>
      </c>
      <c r="H132" s="674">
        <f t="shared" si="10"/>
        <v>40.709812108559504</v>
      </c>
    </row>
    <row r="133" spans="1:8" s="114" customFormat="1" ht="45" customHeight="1">
      <c r="A133" s="703"/>
      <c r="B133" s="703"/>
      <c r="C133" s="593" t="s">
        <v>36</v>
      </c>
      <c r="D133" s="424" t="s">
        <v>209</v>
      </c>
      <c r="E133" s="675">
        <v>32598</v>
      </c>
      <c r="F133" s="673">
        <v>21323.52</v>
      </c>
      <c r="G133" s="673">
        <v>0</v>
      </c>
      <c r="H133" s="674">
        <f t="shared" si="10"/>
        <v>65.413583655438984</v>
      </c>
    </row>
    <row r="134" spans="1:8" s="114" customFormat="1" ht="12">
      <c r="A134" s="703"/>
      <c r="B134" s="703"/>
      <c r="C134" s="593" t="s">
        <v>70</v>
      </c>
      <c r="D134" s="424" t="s">
        <v>72</v>
      </c>
      <c r="E134" s="675">
        <v>10539</v>
      </c>
      <c r="F134" s="673">
        <v>7603.08</v>
      </c>
      <c r="G134" s="673">
        <v>0</v>
      </c>
      <c r="H134" s="674">
        <f t="shared" si="10"/>
        <v>72.142328494164531</v>
      </c>
    </row>
    <row r="135" spans="1:8" s="114" customFormat="1" ht="12">
      <c r="A135" s="703"/>
      <c r="B135" s="703"/>
      <c r="C135" s="593" t="s">
        <v>64</v>
      </c>
      <c r="D135" s="424" t="s">
        <v>74</v>
      </c>
      <c r="E135" s="675">
        <v>1252</v>
      </c>
      <c r="F135" s="673">
        <v>1169.3599999999999</v>
      </c>
      <c r="G135" s="673">
        <v>0</v>
      </c>
      <c r="H135" s="674">
        <f t="shared" si="10"/>
        <v>93.399361022364218</v>
      </c>
    </row>
    <row r="136" spans="1:8" s="114" customFormat="1" ht="12">
      <c r="A136" s="703"/>
      <c r="B136" s="703"/>
      <c r="C136" s="593" t="s">
        <v>71</v>
      </c>
      <c r="D136" s="424" t="s">
        <v>73</v>
      </c>
      <c r="E136" s="675">
        <v>7436</v>
      </c>
      <c r="F136" s="673">
        <v>7370.49</v>
      </c>
      <c r="G136" s="673">
        <v>0</v>
      </c>
      <c r="H136" s="674">
        <f t="shared" si="10"/>
        <v>99.119015599784831</v>
      </c>
    </row>
    <row r="137" spans="1:8" s="114" customFormat="1" ht="12">
      <c r="A137" s="703"/>
      <c r="B137" s="703"/>
      <c r="C137" s="593"/>
      <c r="D137" s="603" t="s">
        <v>282</v>
      </c>
      <c r="E137" s="692">
        <f>E138+E139+E140</f>
        <v>3748</v>
      </c>
      <c r="F137" s="693">
        <f>F138+F139+F140</f>
        <v>2261.64</v>
      </c>
      <c r="G137" s="673">
        <v>0</v>
      </c>
      <c r="H137" s="685">
        <f t="shared" si="10"/>
        <v>60.342582710779084</v>
      </c>
    </row>
    <row r="138" spans="1:8" s="114" customFormat="1" ht="12">
      <c r="A138" s="703"/>
      <c r="B138" s="703"/>
      <c r="C138" s="593" t="s">
        <v>52</v>
      </c>
      <c r="D138" s="434" t="s">
        <v>53</v>
      </c>
      <c r="E138" s="675">
        <v>1500</v>
      </c>
      <c r="F138" s="673">
        <v>133</v>
      </c>
      <c r="G138" s="673">
        <v>0</v>
      </c>
      <c r="H138" s="674">
        <f t="shared" si="10"/>
        <v>8.8666666666666671</v>
      </c>
    </row>
    <row r="139" spans="1:8" s="114" customFormat="1" ht="12">
      <c r="A139" s="703"/>
      <c r="B139" s="703"/>
      <c r="C139" s="593" t="s">
        <v>64</v>
      </c>
      <c r="D139" s="424" t="s">
        <v>74</v>
      </c>
      <c r="E139" s="675">
        <v>700</v>
      </c>
      <c r="F139" s="673">
        <v>580.64</v>
      </c>
      <c r="G139" s="673">
        <v>0</v>
      </c>
      <c r="H139" s="674">
        <f t="shared" si="10"/>
        <v>82.948571428571427</v>
      </c>
    </row>
    <row r="140" spans="1:8" s="114" customFormat="1" ht="12">
      <c r="A140" s="703"/>
      <c r="B140" s="703"/>
      <c r="C140" s="593" t="s">
        <v>71</v>
      </c>
      <c r="D140" s="424" t="s">
        <v>73</v>
      </c>
      <c r="E140" s="675">
        <v>1548</v>
      </c>
      <c r="F140" s="673">
        <v>1548</v>
      </c>
      <c r="G140" s="673">
        <v>0</v>
      </c>
      <c r="H140" s="674">
        <f t="shared" si="10"/>
        <v>100</v>
      </c>
    </row>
    <row r="141" spans="1:8" s="114" customFormat="1" ht="12">
      <c r="A141" s="703"/>
      <c r="B141" s="703"/>
      <c r="C141" s="593"/>
      <c r="D141" s="603" t="s">
        <v>307</v>
      </c>
      <c r="E141" s="692">
        <f>E142+E143</f>
        <v>0</v>
      </c>
      <c r="F141" s="696">
        <f>F142+F143</f>
        <v>565.74</v>
      </c>
      <c r="G141" s="673">
        <v>0</v>
      </c>
      <c r="H141" s="685"/>
    </row>
    <row r="142" spans="1:8" s="114" customFormat="1" ht="33.75">
      <c r="A142" s="703"/>
      <c r="B142" s="703"/>
      <c r="C142" s="593" t="s">
        <v>446</v>
      </c>
      <c r="D142" s="428" t="s">
        <v>451</v>
      </c>
      <c r="E142" s="675">
        <v>0</v>
      </c>
      <c r="F142" s="673">
        <v>42</v>
      </c>
      <c r="G142" s="673">
        <v>0</v>
      </c>
      <c r="H142" s="674"/>
    </row>
    <row r="143" spans="1:8" s="114" customFormat="1" ht="33.75" customHeight="1">
      <c r="A143" s="703"/>
      <c r="B143" s="704"/>
      <c r="C143" s="593" t="s">
        <v>447</v>
      </c>
      <c r="D143" s="424" t="s">
        <v>151</v>
      </c>
      <c r="E143" s="675">
        <v>0</v>
      </c>
      <c r="F143" s="673">
        <v>523.74</v>
      </c>
      <c r="G143" s="673">
        <v>0</v>
      </c>
      <c r="H143" s="674"/>
    </row>
    <row r="144" spans="1:8" s="114" customFormat="1" ht="23.25" customHeight="1">
      <c r="A144" s="703"/>
      <c r="B144" s="573">
        <v>80140</v>
      </c>
      <c r="C144" s="593"/>
      <c r="D144" s="424" t="s">
        <v>315</v>
      </c>
      <c r="E144" s="675">
        <f>E145+E146+E147</f>
        <v>34703</v>
      </c>
      <c r="F144" s="697">
        <f>F145+F146+F147</f>
        <v>65066.21</v>
      </c>
      <c r="G144" s="673">
        <v>0</v>
      </c>
      <c r="H144" s="674">
        <f t="shared" si="10"/>
        <v>187.49448174509408</v>
      </c>
    </row>
    <row r="145" spans="1:8" s="114" customFormat="1" ht="45.75" customHeight="1">
      <c r="A145" s="703"/>
      <c r="B145" s="702"/>
      <c r="C145" s="593" t="s">
        <v>36</v>
      </c>
      <c r="D145" s="424" t="s">
        <v>209</v>
      </c>
      <c r="E145" s="675">
        <v>14719</v>
      </c>
      <c r="F145" s="673">
        <v>31543.25</v>
      </c>
      <c r="G145" s="673">
        <v>0</v>
      </c>
      <c r="H145" s="674">
        <f t="shared" si="10"/>
        <v>214.30294177593586</v>
      </c>
    </row>
    <row r="146" spans="1:8" s="114" customFormat="1" ht="12">
      <c r="A146" s="703"/>
      <c r="B146" s="703"/>
      <c r="C146" s="593" t="s">
        <v>70</v>
      </c>
      <c r="D146" s="424" t="s">
        <v>72</v>
      </c>
      <c r="E146" s="675">
        <v>19308</v>
      </c>
      <c r="F146" s="673">
        <v>32696.59</v>
      </c>
      <c r="G146" s="673">
        <v>0</v>
      </c>
      <c r="H146" s="674">
        <f t="shared" si="10"/>
        <v>169.34218976590014</v>
      </c>
    </row>
    <row r="147" spans="1:8" s="114" customFormat="1" ht="12">
      <c r="A147" s="704"/>
      <c r="B147" s="704"/>
      <c r="C147" s="593" t="s">
        <v>71</v>
      </c>
      <c r="D147" s="424" t="s">
        <v>73</v>
      </c>
      <c r="E147" s="675">
        <v>676</v>
      </c>
      <c r="F147" s="673">
        <v>826.37</v>
      </c>
      <c r="G147" s="673">
        <v>0</v>
      </c>
      <c r="H147" s="674"/>
    </row>
    <row r="148" spans="1:8" s="114" customFormat="1" ht="12">
      <c r="A148" s="578">
        <v>851</v>
      </c>
      <c r="B148" s="578"/>
      <c r="C148" s="578"/>
      <c r="D148" s="577" t="s">
        <v>49</v>
      </c>
      <c r="E148" s="669">
        <f>E151+E149</f>
        <v>1955500</v>
      </c>
      <c r="F148" s="677">
        <f>F151+F149</f>
        <v>1005796</v>
      </c>
      <c r="G148" s="677">
        <v>0</v>
      </c>
      <c r="H148" s="671">
        <f t="shared" ref="H148:H149" si="11">F148/E148*100</f>
        <v>51.434211199181789</v>
      </c>
    </row>
    <row r="149" spans="1:8" s="114" customFormat="1" ht="12">
      <c r="A149" s="703"/>
      <c r="B149" s="573">
        <v>85154</v>
      </c>
      <c r="C149" s="573"/>
      <c r="D149" s="434" t="s">
        <v>102</v>
      </c>
      <c r="E149" s="675">
        <f>E150</f>
        <v>19500</v>
      </c>
      <c r="F149" s="673">
        <f>F150</f>
        <v>12000</v>
      </c>
      <c r="G149" s="673">
        <v>0</v>
      </c>
      <c r="H149" s="674">
        <f t="shared" si="11"/>
        <v>61.53846153846154</v>
      </c>
    </row>
    <row r="150" spans="1:8" s="114" customFormat="1" ht="33" customHeight="1">
      <c r="A150" s="703"/>
      <c r="B150" s="479"/>
      <c r="C150" s="573">
        <v>2310</v>
      </c>
      <c r="D150" s="700" t="s">
        <v>150</v>
      </c>
      <c r="E150" s="675">
        <v>19500</v>
      </c>
      <c r="F150" s="673">
        <v>12000</v>
      </c>
      <c r="G150" s="673">
        <v>0</v>
      </c>
      <c r="H150" s="674">
        <f t="shared" ref="H150:H167" si="12">F150/E150*100</f>
        <v>61.53846153846154</v>
      </c>
    </row>
    <row r="151" spans="1:8" s="114" customFormat="1" ht="12">
      <c r="A151" s="703"/>
      <c r="B151" s="573">
        <v>85156</v>
      </c>
      <c r="C151" s="573"/>
      <c r="D151" s="435" t="s">
        <v>103</v>
      </c>
      <c r="E151" s="675">
        <v>1936000</v>
      </c>
      <c r="F151" s="673">
        <f>F152</f>
        <v>993796</v>
      </c>
      <c r="G151" s="673">
        <v>0</v>
      </c>
      <c r="H151" s="674">
        <f t="shared" si="12"/>
        <v>51.332438016528926</v>
      </c>
    </row>
    <row r="152" spans="1:8" s="114" customFormat="1" ht="33.75" customHeight="1">
      <c r="A152" s="704"/>
      <c r="B152" s="573"/>
      <c r="C152" s="573">
        <v>2110</v>
      </c>
      <c r="D152" s="424" t="s">
        <v>80</v>
      </c>
      <c r="E152" s="675">
        <v>1936000</v>
      </c>
      <c r="F152" s="673">
        <v>993796</v>
      </c>
      <c r="G152" s="673">
        <v>0</v>
      </c>
      <c r="H152" s="674">
        <f t="shared" si="12"/>
        <v>51.332438016528926</v>
      </c>
    </row>
    <row r="153" spans="1:8" s="114" customFormat="1" ht="12">
      <c r="A153" s="578">
        <v>852</v>
      </c>
      <c r="B153" s="578"/>
      <c r="C153" s="578"/>
      <c r="D153" s="579" t="s">
        <v>50</v>
      </c>
      <c r="E153" s="669">
        <f>E154+E167+E171+E176+E179</f>
        <v>4027391</v>
      </c>
      <c r="F153" s="670">
        <f>F154+F167+F171+F176+F179</f>
        <v>2100167.12</v>
      </c>
      <c r="G153" s="670">
        <v>0</v>
      </c>
      <c r="H153" s="680">
        <f t="shared" si="12"/>
        <v>52.14708777965685</v>
      </c>
    </row>
    <row r="154" spans="1:8" s="114" customFormat="1" ht="12">
      <c r="A154" s="702" t="s">
        <v>27</v>
      </c>
      <c r="B154" s="573">
        <v>85201</v>
      </c>
      <c r="C154" s="573"/>
      <c r="D154" s="424" t="s">
        <v>104</v>
      </c>
      <c r="E154" s="694">
        <f>E155+E163+E160</f>
        <v>1239773</v>
      </c>
      <c r="F154" s="698">
        <f>F155+F163+F160</f>
        <v>718839.05</v>
      </c>
      <c r="G154" s="673">
        <v>0</v>
      </c>
      <c r="H154" s="674">
        <f t="shared" si="12"/>
        <v>57.981505485278362</v>
      </c>
    </row>
    <row r="155" spans="1:8" s="114" customFormat="1" ht="12">
      <c r="A155" s="703"/>
      <c r="B155" s="702"/>
      <c r="C155" s="573"/>
      <c r="D155" s="603" t="s">
        <v>316</v>
      </c>
      <c r="E155" s="692">
        <f>E156+E157+E158+E159</f>
        <v>14438</v>
      </c>
      <c r="F155" s="693">
        <f>F156+F157+F158+F159</f>
        <v>11183.720000000001</v>
      </c>
      <c r="G155" s="673">
        <v>0</v>
      </c>
      <c r="H155" s="685">
        <f t="shared" si="12"/>
        <v>77.460313062751084</v>
      </c>
    </row>
    <row r="156" spans="1:8" s="114" customFormat="1" ht="22.5">
      <c r="A156" s="703"/>
      <c r="B156" s="703"/>
      <c r="C156" s="575" t="s">
        <v>146</v>
      </c>
      <c r="D156" s="436" t="s">
        <v>194</v>
      </c>
      <c r="E156" s="675">
        <v>6948</v>
      </c>
      <c r="F156" s="673">
        <v>5215.8999999999996</v>
      </c>
      <c r="G156" s="673">
        <v>0</v>
      </c>
      <c r="H156" s="674">
        <f t="shared" si="12"/>
        <v>75.070523891767408</v>
      </c>
    </row>
    <row r="157" spans="1:8" s="114" customFormat="1" ht="33.75">
      <c r="A157" s="703"/>
      <c r="B157" s="703"/>
      <c r="C157" s="575" t="s">
        <v>173</v>
      </c>
      <c r="D157" s="424" t="s">
        <v>189</v>
      </c>
      <c r="E157" s="675">
        <v>2897</v>
      </c>
      <c r="F157" s="673">
        <v>2540.84</v>
      </c>
      <c r="G157" s="673">
        <v>0</v>
      </c>
      <c r="H157" s="674">
        <f t="shared" si="12"/>
        <v>87.705902657921996</v>
      </c>
    </row>
    <row r="158" spans="1:8" s="114" customFormat="1" ht="12">
      <c r="A158" s="703"/>
      <c r="B158" s="703"/>
      <c r="C158" s="575" t="s">
        <v>64</v>
      </c>
      <c r="D158" s="424" t="s">
        <v>74</v>
      </c>
      <c r="E158" s="675">
        <v>3444</v>
      </c>
      <c r="F158" s="673">
        <v>2278.0300000000002</v>
      </c>
      <c r="G158" s="673">
        <v>0</v>
      </c>
      <c r="H158" s="674">
        <f t="shared" si="12"/>
        <v>66.144889663182354</v>
      </c>
    </row>
    <row r="159" spans="1:8" s="114" customFormat="1" ht="22.5">
      <c r="A159" s="703"/>
      <c r="B159" s="703"/>
      <c r="C159" s="575" t="s">
        <v>116</v>
      </c>
      <c r="D159" s="424" t="s">
        <v>188</v>
      </c>
      <c r="E159" s="675">
        <v>1149</v>
      </c>
      <c r="F159" s="673">
        <v>1148.95</v>
      </c>
      <c r="G159" s="673">
        <v>0</v>
      </c>
      <c r="H159" s="674">
        <f t="shared" si="12"/>
        <v>99.995648389904261</v>
      </c>
    </row>
    <row r="160" spans="1:8" s="114" customFormat="1" ht="12">
      <c r="A160" s="703"/>
      <c r="B160" s="703"/>
      <c r="C160" s="575"/>
      <c r="D160" s="603" t="s">
        <v>445</v>
      </c>
      <c r="E160" s="692">
        <v>0</v>
      </c>
      <c r="F160" s="696">
        <f>F161+F162</f>
        <v>7535.43</v>
      </c>
      <c r="G160" s="673">
        <v>0</v>
      </c>
      <c r="H160" s="685"/>
    </row>
    <row r="161" spans="1:8" s="114" customFormat="1" ht="12">
      <c r="A161" s="703"/>
      <c r="B161" s="703"/>
      <c r="C161" s="575" t="s">
        <v>64</v>
      </c>
      <c r="D161" s="424" t="s">
        <v>74</v>
      </c>
      <c r="E161" s="675">
        <v>0</v>
      </c>
      <c r="F161" s="673">
        <v>7369.52</v>
      </c>
      <c r="G161" s="673">
        <v>0</v>
      </c>
      <c r="H161" s="674"/>
    </row>
    <row r="162" spans="1:8" s="114" customFormat="1" ht="22.5">
      <c r="A162" s="703"/>
      <c r="B162" s="703"/>
      <c r="C162" s="575" t="s">
        <v>116</v>
      </c>
      <c r="D162" s="424" t="s">
        <v>188</v>
      </c>
      <c r="E162" s="675">
        <v>0</v>
      </c>
      <c r="F162" s="673">
        <v>165.91</v>
      </c>
      <c r="G162" s="673">
        <v>0</v>
      </c>
      <c r="H162" s="674"/>
    </row>
    <row r="163" spans="1:8" s="114" customFormat="1" ht="12">
      <c r="A163" s="703"/>
      <c r="B163" s="703"/>
      <c r="C163" s="573"/>
      <c r="D163" s="603" t="s">
        <v>307</v>
      </c>
      <c r="E163" s="692">
        <f>E165+E166</f>
        <v>1225335</v>
      </c>
      <c r="F163" s="696">
        <f>F165+F166+F164</f>
        <v>700119.9</v>
      </c>
      <c r="G163" s="673">
        <v>0</v>
      </c>
      <c r="H163" s="674">
        <f t="shared" si="12"/>
        <v>57.137019672171284</v>
      </c>
    </row>
    <row r="164" spans="1:8" s="114" customFormat="1" ht="12">
      <c r="A164" s="703"/>
      <c r="B164" s="703"/>
      <c r="C164" s="575" t="s">
        <v>64</v>
      </c>
      <c r="D164" s="424" t="s">
        <v>74</v>
      </c>
      <c r="E164" s="692">
        <v>0</v>
      </c>
      <c r="F164" s="695">
        <v>65.599999999999994</v>
      </c>
      <c r="G164" s="673">
        <v>0</v>
      </c>
      <c r="H164" s="674"/>
    </row>
    <row r="165" spans="1:8" s="114" customFormat="1" ht="21.75" customHeight="1">
      <c r="A165" s="703"/>
      <c r="B165" s="703"/>
      <c r="C165" s="573">
        <v>2130</v>
      </c>
      <c r="D165" s="424" t="s">
        <v>186</v>
      </c>
      <c r="E165" s="675">
        <v>1240</v>
      </c>
      <c r="F165" s="673">
        <v>1240</v>
      </c>
      <c r="G165" s="673">
        <v>0</v>
      </c>
      <c r="H165" s="674">
        <f t="shared" si="12"/>
        <v>100</v>
      </c>
    </row>
    <row r="166" spans="1:8" s="114" customFormat="1" ht="33.75" customHeight="1">
      <c r="A166" s="703"/>
      <c r="B166" s="704"/>
      <c r="C166" s="573">
        <v>2320</v>
      </c>
      <c r="D166" s="424" t="s">
        <v>152</v>
      </c>
      <c r="E166" s="675">
        <v>1224095</v>
      </c>
      <c r="F166" s="673">
        <v>698814.3</v>
      </c>
      <c r="G166" s="673">
        <v>0</v>
      </c>
      <c r="H166" s="674">
        <f t="shared" si="12"/>
        <v>57.088240700272451</v>
      </c>
    </row>
    <row r="167" spans="1:8" s="114" customFormat="1" ht="12">
      <c r="A167" s="703"/>
      <c r="B167" s="573">
        <v>85202</v>
      </c>
      <c r="C167" s="573"/>
      <c r="D167" s="424" t="s">
        <v>105</v>
      </c>
      <c r="E167" s="675">
        <f>E168+E170</f>
        <v>1970000</v>
      </c>
      <c r="F167" s="673">
        <f>F170+F168+F169</f>
        <v>930747.36</v>
      </c>
      <c r="G167" s="673">
        <v>0</v>
      </c>
      <c r="H167" s="674">
        <f t="shared" si="12"/>
        <v>47.246058883248729</v>
      </c>
    </row>
    <row r="168" spans="1:8" s="114" customFormat="1" ht="44.25" customHeight="1">
      <c r="A168" s="703"/>
      <c r="B168" s="710"/>
      <c r="C168" s="575" t="s">
        <v>36</v>
      </c>
      <c r="D168" s="424" t="s">
        <v>209</v>
      </c>
      <c r="E168" s="675">
        <v>0</v>
      </c>
      <c r="F168" s="673">
        <v>5634.36</v>
      </c>
      <c r="G168" s="673">
        <v>0</v>
      </c>
      <c r="H168" s="674"/>
    </row>
    <row r="169" spans="1:8" s="114" customFormat="1" ht="12">
      <c r="A169" s="703"/>
      <c r="B169" s="710"/>
      <c r="C169" s="575" t="s">
        <v>71</v>
      </c>
      <c r="D169" s="424" t="s">
        <v>73</v>
      </c>
      <c r="E169" s="675">
        <v>0</v>
      </c>
      <c r="F169" s="673">
        <v>98</v>
      </c>
      <c r="G169" s="673">
        <v>0</v>
      </c>
      <c r="H169" s="674"/>
    </row>
    <row r="170" spans="1:8" s="114" customFormat="1" ht="22.5" customHeight="1">
      <c r="A170" s="703"/>
      <c r="B170" s="710"/>
      <c r="C170" s="573">
        <v>2130</v>
      </c>
      <c r="D170" s="424" t="s">
        <v>40</v>
      </c>
      <c r="E170" s="675">
        <v>1970000</v>
      </c>
      <c r="F170" s="673">
        <v>925015</v>
      </c>
      <c r="G170" s="673">
        <v>0</v>
      </c>
      <c r="H170" s="674">
        <f>F170/E170*100</f>
        <v>46.955076142131979</v>
      </c>
    </row>
    <row r="171" spans="1:8" s="114" customFormat="1" ht="12">
      <c r="A171" s="703"/>
      <c r="B171" s="573">
        <v>85203</v>
      </c>
      <c r="C171" s="573"/>
      <c r="D171" s="424" t="s">
        <v>106</v>
      </c>
      <c r="E171" s="675">
        <f>E172+E173+E174</f>
        <v>664150</v>
      </c>
      <c r="F171" s="673">
        <f>SUM(F172:F175)</f>
        <v>353106.46</v>
      </c>
      <c r="G171" s="673">
        <v>0</v>
      </c>
      <c r="H171" s="674">
        <f>F171/E171*100</f>
        <v>53.16667319129715</v>
      </c>
    </row>
    <row r="172" spans="1:8" s="114" customFormat="1" ht="45" customHeight="1">
      <c r="A172" s="703"/>
      <c r="B172" s="702"/>
      <c r="C172" s="575" t="s">
        <v>36</v>
      </c>
      <c r="D172" s="424" t="s">
        <v>209</v>
      </c>
      <c r="E172" s="675">
        <v>5850</v>
      </c>
      <c r="F172" s="673">
        <v>8350</v>
      </c>
      <c r="G172" s="673">
        <v>0</v>
      </c>
      <c r="H172" s="674">
        <f>F172/E172*100</f>
        <v>142.73504273504273</v>
      </c>
    </row>
    <row r="173" spans="1:8" s="114" customFormat="1" ht="12">
      <c r="A173" s="703"/>
      <c r="B173" s="703"/>
      <c r="C173" s="575" t="s">
        <v>64</v>
      </c>
      <c r="D173" s="424" t="s">
        <v>74</v>
      </c>
      <c r="E173" s="675">
        <v>0</v>
      </c>
      <c r="F173" s="673">
        <v>373.34</v>
      </c>
      <c r="G173" s="673">
        <v>0</v>
      </c>
      <c r="H173" s="674"/>
    </row>
    <row r="174" spans="1:8" s="114" customFormat="1" ht="33" customHeight="1">
      <c r="A174" s="703"/>
      <c r="B174" s="703"/>
      <c r="C174" s="573">
        <v>2110</v>
      </c>
      <c r="D174" s="424" t="s">
        <v>80</v>
      </c>
      <c r="E174" s="675">
        <v>658300</v>
      </c>
      <c r="F174" s="673">
        <v>344273</v>
      </c>
      <c r="G174" s="673">
        <v>0</v>
      </c>
      <c r="H174" s="674">
        <f>F174/E174*100</f>
        <v>52.297280874981013</v>
      </c>
    </row>
    <row r="175" spans="1:8" s="114" customFormat="1" ht="35.25" customHeight="1">
      <c r="A175" s="703"/>
      <c r="B175" s="704"/>
      <c r="C175" s="573">
        <v>2360</v>
      </c>
      <c r="D175" s="424" t="s">
        <v>148</v>
      </c>
      <c r="E175" s="675">
        <v>0</v>
      </c>
      <c r="F175" s="673">
        <v>110.12</v>
      </c>
      <c r="G175" s="673">
        <v>0</v>
      </c>
      <c r="H175" s="674"/>
    </row>
    <row r="176" spans="1:8" s="114" customFormat="1" ht="12">
      <c r="A176" s="703"/>
      <c r="B176" s="573">
        <v>85204</v>
      </c>
      <c r="C176" s="573"/>
      <c r="D176" s="424" t="s">
        <v>130</v>
      </c>
      <c r="E176" s="675">
        <f>E178</f>
        <v>72872</v>
      </c>
      <c r="F176" s="673">
        <f>F177+F178</f>
        <v>41389.040000000001</v>
      </c>
      <c r="G176" s="673">
        <v>0</v>
      </c>
      <c r="H176" s="674">
        <f t="shared" ref="H176" si="13">F176/E176*100</f>
        <v>56.79690416072016</v>
      </c>
    </row>
    <row r="177" spans="1:8" s="114" customFormat="1" ht="12">
      <c r="A177" s="703"/>
      <c r="B177" s="703"/>
      <c r="C177" s="575" t="s">
        <v>71</v>
      </c>
      <c r="D177" s="424" t="s">
        <v>73</v>
      </c>
      <c r="E177" s="675"/>
      <c r="F177" s="673">
        <v>638.64</v>
      </c>
      <c r="G177" s="673">
        <v>0</v>
      </c>
      <c r="H177" s="674"/>
    </row>
    <row r="178" spans="1:8" s="114" customFormat="1" ht="34.5" customHeight="1">
      <c r="A178" s="703"/>
      <c r="B178" s="704"/>
      <c r="C178" s="575">
        <v>2320</v>
      </c>
      <c r="D178" s="424" t="s">
        <v>152</v>
      </c>
      <c r="E178" s="675">
        <v>72872</v>
      </c>
      <c r="F178" s="673">
        <v>40750.400000000001</v>
      </c>
      <c r="G178" s="673">
        <v>0</v>
      </c>
      <c r="H178" s="674">
        <f t="shared" ref="H178:H198" si="14">F178/E178*100</f>
        <v>55.920518168844005</v>
      </c>
    </row>
    <row r="179" spans="1:8" s="114" customFormat="1" ht="12">
      <c r="A179" s="703"/>
      <c r="B179" s="573">
        <v>85218</v>
      </c>
      <c r="C179" s="573"/>
      <c r="D179" s="424" t="s">
        <v>108</v>
      </c>
      <c r="E179" s="675">
        <f>SUM(E180:E184)</f>
        <v>80596</v>
      </c>
      <c r="F179" s="673">
        <f>SUM(F180:F184)</f>
        <v>56085.210000000006</v>
      </c>
      <c r="G179" s="673">
        <v>0</v>
      </c>
      <c r="H179" s="674">
        <f t="shared" si="14"/>
        <v>69.588081294357053</v>
      </c>
    </row>
    <row r="180" spans="1:8" s="114" customFormat="1" ht="44.25" customHeight="1">
      <c r="A180" s="703"/>
      <c r="B180" s="702"/>
      <c r="C180" s="575" t="s">
        <v>36</v>
      </c>
      <c r="D180" s="424" t="s">
        <v>149</v>
      </c>
      <c r="E180" s="675">
        <v>37694</v>
      </c>
      <c r="F180" s="673">
        <v>26247.16</v>
      </c>
      <c r="G180" s="673">
        <v>0</v>
      </c>
      <c r="H180" s="674">
        <f t="shared" si="14"/>
        <v>69.632196105480986</v>
      </c>
    </row>
    <row r="181" spans="1:8" s="114" customFormat="1" ht="12">
      <c r="A181" s="703"/>
      <c r="B181" s="703"/>
      <c r="C181" s="575" t="s">
        <v>70</v>
      </c>
      <c r="D181" s="424" t="s">
        <v>72</v>
      </c>
      <c r="E181" s="675">
        <v>9252</v>
      </c>
      <c r="F181" s="673">
        <v>9060.11</v>
      </c>
      <c r="G181" s="673">
        <v>0</v>
      </c>
      <c r="H181" s="674">
        <f t="shared" si="14"/>
        <v>97.925961954172081</v>
      </c>
    </row>
    <row r="182" spans="1:8" s="114" customFormat="1" ht="12">
      <c r="A182" s="703"/>
      <c r="B182" s="703"/>
      <c r="C182" s="575" t="s">
        <v>64</v>
      </c>
      <c r="D182" s="424" t="s">
        <v>74</v>
      </c>
      <c r="E182" s="675">
        <v>300</v>
      </c>
      <c r="F182" s="673">
        <v>1118.94</v>
      </c>
      <c r="G182" s="673">
        <v>0</v>
      </c>
      <c r="H182" s="674">
        <f t="shared" si="14"/>
        <v>372.98</v>
      </c>
    </row>
    <row r="183" spans="1:8" s="114" customFormat="1" ht="12">
      <c r="A183" s="703"/>
      <c r="B183" s="703"/>
      <c r="C183" s="575" t="s">
        <v>71</v>
      </c>
      <c r="D183" s="424" t="s">
        <v>73</v>
      </c>
      <c r="E183" s="675">
        <v>30650</v>
      </c>
      <c r="F183" s="673">
        <v>16959</v>
      </c>
      <c r="G183" s="673">
        <v>0</v>
      </c>
      <c r="H183" s="674">
        <f t="shared" si="14"/>
        <v>55.331158238172918</v>
      </c>
    </row>
    <row r="184" spans="1:8" s="114" customFormat="1" ht="24" customHeight="1">
      <c r="A184" s="704"/>
      <c r="B184" s="704"/>
      <c r="C184" s="573">
        <v>2130</v>
      </c>
      <c r="D184" s="424" t="s">
        <v>40</v>
      </c>
      <c r="E184" s="675">
        <v>2700</v>
      </c>
      <c r="F184" s="673">
        <v>2700</v>
      </c>
      <c r="G184" s="673">
        <v>0</v>
      </c>
      <c r="H184" s="674">
        <f t="shared" si="14"/>
        <v>100</v>
      </c>
    </row>
    <row r="185" spans="1:8" s="114" customFormat="1" ht="21">
      <c r="A185" s="578">
        <v>853</v>
      </c>
      <c r="B185" s="578"/>
      <c r="C185" s="576"/>
      <c r="D185" s="579" t="s">
        <v>51</v>
      </c>
      <c r="E185" s="669">
        <f>E186+E188+E193+E195</f>
        <v>1590449</v>
      </c>
      <c r="F185" s="670">
        <f>F186+F188+F193+F195</f>
        <v>1194593.6200000001</v>
      </c>
      <c r="G185" s="670">
        <v>0</v>
      </c>
      <c r="H185" s="680">
        <f t="shared" si="14"/>
        <v>75.110463774695077</v>
      </c>
    </row>
    <row r="186" spans="1:8" s="114" customFormat="1" ht="12">
      <c r="A186" s="702"/>
      <c r="B186" s="573">
        <v>85321</v>
      </c>
      <c r="C186" s="573"/>
      <c r="D186" s="424" t="s">
        <v>109</v>
      </c>
      <c r="E186" s="675">
        <f>E187</f>
        <v>73000</v>
      </c>
      <c r="F186" s="673">
        <f>F187</f>
        <v>36498</v>
      </c>
      <c r="G186" s="673">
        <v>0</v>
      </c>
      <c r="H186" s="674">
        <f t="shared" si="14"/>
        <v>49.997260273972607</v>
      </c>
    </row>
    <row r="187" spans="1:8" s="114" customFormat="1" ht="34.5" customHeight="1">
      <c r="A187" s="703"/>
      <c r="B187" s="573"/>
      <c r="C187" s="573">
        <v>2110</v>
      </c>
      <c r="D187" s="424" t="s">
        <v>80</v>
      </c>
      <c r="E187" s="675">
        <v>73000</v>
      </c>
      <c r="F187" s="673">
        <v>36498</v>
      </c>
      <c r="G187" s="673">
        <v>0</v>
      </c>
      <c r="H187" s="674">
        <f t="shared" si="14"/>
        <v>49.997260273972607</v>
      </c>
    </row>
    <row r="188" spans="1:8" s="114" customFormat="1" ht="12">
      <c r="A188" s="703"/>
      <c r="B188" s="573">
        <v>85333</v>
      </c>
      <c r="C188" s="573"/>
      <c r="D188" s="424" t="s">
        <v>110</v>
      </c>
      <c r="E188" s="675">
        <f>SUM(E189:E192)</f>
        <v>527100</v>
      </c>
      <c r="F188" s="673">
        <f>SUM(F189:F192)</f>
        <v>269254.02</v>
      </c>
      <c r="G188" s="673">
        <v>0</v>
      </c>
      <c r="H188" s="674">
        <f t="shared" si="14"/>
        <v>51.082151394422311</v>
      </c>
    </row>
    <row r="189" spans="1:8" s="114" customFormat="1" ht="46.5" customHeight="1">
      <c r="A189" s="703"/>
      <c r="B189" s="702"/>
      <c r="C189" s="575" t="s">
        <v>36</v>
      </c>
      <c r="D189" s="424" t="s">
        <v>209</v>
      </c>
      <c r="E189" s="675">
        <v>900</v>
      </c>
      <c r="F189" s="673">
        <v>3000</v>
      </c>
      <c r="G189" s="673">
        <v>0</v>
      </c>
      <c r="H189" s="674">
        <f t="shared" si="14"/>
        <v>333.33333333333337</v>
      </c>
    </row>
    <row r="190" spans="1:8" s="114" customFormat="1" ht="12">
      <c r="A190" s="703"/>
      <c r="B190" s="703"/>
      <c r="C190" s="575" t="s">
        <v>64</v>
      </c>
      <c r="D190" s="424" t="s">
        <v>74</v>
      </c>
      <c r="E190" s="675">
        <v>500</v>
      </c>
      <c r="F190" s="673">
        <v>3591.94</v>
      </c>
      <c r="G190" s="673">
        <v>0</v>
      </c>
      <c r="H190" s="674">
        <f t="shared" si="14"/>
        <v>718.38800000000003</v>
      </c>
    </row>
    <row r="191" spans="1:8" s="114" customFormat="1" ht="12">
      <c r="A191" s="703"/>
      <c r="B191" s="703"/>
      <c r="C191" s="575" t="s">
        <v>71</v>
      </c>
      <c r="D191" s="424" t="s">
        <v>73</v>
      </c>
      <c r="E191" s="675">
        <v>1200</v>
      </c>
      <c r="F191" s="673">
        <v>412.08</v>
      </c>
      <c r="G191" s="673">
        <v>0</v>
      </c>
      <c r="H191" s="674">
        <f t="shared" si="14"/>
        <v>34.339999999999996</v>
      </c>
    </row>
    <row r="192" spans="1:8" s="114" customFormat="1" ht="33.75">
      <c r="A192" s="703"/>
      <c r="B192" s="704"/>
      <c r="C192" s="573">
        <v>2440</v>
      </c>
      <c r="D192" s="583" t="s">
        <v>156</v>
      </c>
      <c r="E192" s="675">
        <v>524500</v>
      </c>
      <c r="F192" s="673">
        <v>262250</v>
      </c>
      <c r="G192" s="673">
        <v>0</v>
      </c>
      <c r="H192" s="674">
        <f t="shared" si="14"/>
        <v>50</v>
      </c>
    </row>
    <row r="193" spans="1:8" s="114" customFormat="1" ht="12">
      <c r="A193" s="703"/>
      <c r="B193" s="573">
        <v>85334</v>
      </c>
      <c r="C193" s="575"/>
      <c r="D193" s="424" t="s">
        <v>142</v>
      </c>
      <c r="E193" s="675">
        <f>E194</f>
        <v>15286</v>
      </c>
      <c r="F193" s="673">
        <f>F194</f>
        <v>15286</v>
      </c>
      <c r="G193" s="673">
        <v>0</v>
      </c>
      <c r="H193" s="674">
        <f t="shared" si="14"/>
        <v>100</v>
      </c>
    </row>
    <row r="194" spans="1:8" s="114" customFormat="1" ht="34.5" customHeight="1">
      <c r="A194" s="703"/>
      <c r="B194" s="573"/>
      <c r="C194" s="573">
        <v>2110</v>
      </c>
      <c r="D194" s="424" t="s">
        <v>80</v>
      </c>
      <c r="E194" s="675">
        <v>15286</v>
      </c>
      <c r="F194" s="673">
        <v>15286</v>
      </c>
      <c r="G194" s="673">
        <v>0</v>
      </c>
      <c r="H194" s="674">
        <f t="shared" si="14"/>
        <v>100</v>
      </c>
    </row>
    <row r="195" spans="1:8" s="114" customFormat="1" ht="12">
      <c r="A195" s="703"/>
      <c r="B195" s="573">
        <v>85395</v>
      </c>
      <c r="C195" s="573"/>
      <c r="D195" s="424" t="s">
        <v>89</v>
      </c>
      <c r="E195" s="675">
        <f>E196+E197+E198+E199</f>
        <v>975063</v>
      </c>
      <c r="F195" s="697">
        <f>F196+F197+F198+F199</f>
        <v>873555.6</v>
      </c>
      <c r="G195" s="673">
        <v>0</v>
      </c>
      <c r="H195" s="674">
        <f t="shared" si="14"/>
        <v>89.589657283683209</v>
      </c>
    </row>
    <row r="196" spans="1:8" s="114" customFormat="1" ht="22.5">
      <c r="A196" s="703"/>
      <c r="B196" s="702"/>
      <c r="C196" s="575">
        <v>2008</v>
      </c>
      <c r="D196" s="424" t="s">
        <v>317</v>
      </c>
      <c r="E196" s="675">
        <v>843306</v>
      </c>
      <c r="F196" s="673">
        <v>778565.15</v>
      </c>
      <c r="G196" s="673">
        <v>0</v>
      </c>
      <c r="H196" s="674">
        <f t="shared" si="14"/>
        <v>92.322970546871488</v>
      </c>
    </row>
    <row r="197" spans="1:8" s="114" customFormat="1" ht="22.5">
      <c r="A197" s="703"/>
      <c r="B197" s="703"/>
      <c r="C197" s="575">
        <v>2009</v>
      </c>
      <c r="D197" s="424" t="s">
        <v>317</v>
      </c>
      <c r="E197" s="675">
        <v>45801</v>
      </c>
      <c r="F197" s="673">
        <v>44958.59</v>
      </c>
      <c r="G197" s="673">
        <v>0</v>
      </c>
      <c r="H197" s="674">
        <f t="shared" si="14"/>
        <v>98.160717014912336</v>
      </c>
    </row>
    <row r="198" spans="1:8" s="114" customFormat="1" ht="33.75">
      <c r="A198" s="703"/>
      <c r="B198" s="703"/>
      <c r="C198" s="573">
        <v>2440</v>
      </c>
      <c r="D198" s="583" t="s">
        <v>156</v>
      </c>
      <c r="E198" s="675">
        <v>85956</v>
      </c>
      <c r="F198" s="673">
        <v>43058</v>
      </c>
      <c r="G198" s="673">
        <v>0</v>
      </c>
      <c r="H198" s="674">
        <f t="shared" si="14"/>
        <v>50.093070873470147</v>
      </c>
    </row>
    <row r="199" spans="1:8" s="114" customFormat="1" ht="33.75">
      <c r="A199" s="704"/>
      <c r="B199" s="704"/>
      <c r="C199" s="573">
        <v>2709</v>
      </c>
      <c r="D199" s="583" t="s">
        <v>449</v>
      </c>
      <c r="E199" s="675">
        <v>0</v>
      </c>
      <c r="F199" s="673">
        <v>6973.86</v>
      </c>
      <c r="G199" s="673">
        <v>0</v>
      </c>
      <c r="H199" s="674"/>
    </row>
    <row r="200" spans="1:8" s="114" customFormat="1" ht="12">
      <c r="A200" s="578">
        <v>854</v>
      </c>
      <c r="B200" s="578"/>
      <c r="C200" s="578"/>
      <c r="D200" s="579" t="s">
        <v>111</v>
      </c>
      <c r="E200" s="669">
        <f>E201+E206+E211+E218+E220</f>
        <v>227642</v>
      </c>
      <c r="F200" s="677">
        <f>F201+F206+F211+F218+F220</f>
        <v>146008.10999999999</v>
      </c>
      <c r="G200" s="677">
        <v>0</v>
      </c>
      <c r="H200" s="680">
        <f>F200/E200*100</f>
        <v>64.139354776359369</v>
      </c>
    </row>
    <row r="201" spans="1:8" s="114" customFormat="1" ht="22.5">
      <c r="A201" s="702"/>
      <c r="B201" s="573">
        <v>85406</v>
      </c>
      <c r="C201" s="573"/>
      <c r="D201" s="424" t="s">
        <v>112</v>
      </c>
      <c r="E201" s="675">
        <f>E202+E203+E205</f>
        <v>15145</v>
      </c>
      <c r="F201" s="673">
        <f>SUM(F202:F205)</f>
        <v>9187.4500000000007</v>
      </c>
      <c r="G201" s="673">
        <v>0</v>
      </c>
      <c r="H201" s="674">
        <f>F201/E201*100</f>
        <v>60.663255199735886</v>
      </c>
    </row>
    <row r="202" spans="1:8" s="114" customFormat="1" ht="46.5" customHeight="1">
      <c r="A202" s="703"/>
      <c r="B202" s="703"/>
      <c r="C202" s="575" t="s">
        <v>36</v>
      </c>
      <c r="D202" s="424" t="s">
        <v>209</v>
      </c>
      <c r="E202" s="675">
        <v>13945</v>
      </c>
      <c r="F202" s="673">
        <v>7838.68</v>
      </c>
      <c r="G202" s="673">
        <v>0</v>
      </c>
      <c r="H202" s="674">
        <f>F202/E202*100</f>
        <v>56.211401936177843</v>
      </c>
    </row>
    <row r="203" spans="1:8" s="114" customFormat="1" ht="12">
      <c r="A203" s="703"/>
      <c r="B203" s="703"/>
      <c r="C203" s="575" t="s">
        <v>64</v>
      </c>
      <c r="D203" s="424" t="s">
        <v>74</v>
      </c>
      <c r="E203" s="675">
        <v>500</v>
      </c>
      <c r="F203" s="673">
        <v>600.77</v>
      </c>
      <c r="G203" s="673">
        <v>0</v>
      </c>
      <c r="H203" s="674">
        <f>F203/E203*100</f>
        <v>120.15400000000001</v>
      </c>
    </row>
    <row r="204" spans="1:8" s="114" customFormat="1" ht="12">
      <c r="A204" s="703"/>
      <c r="B204" s="703"/>
      <c r="C204" s="575" t="s">
        <v>71</v>
      </c>
      <c r="D204" s="424" t="s">
        <v>73</v>
      </c>
      <c r="E204" s="675">
        <v>0</v>
      </c>
      <c r="F204" s="673">
        <v>48</v>
      </c>
      <c r="G204" s="673">
        <v>0</v>
      </c>
      <c r="H204" s="674"/>
    </row>
    <row r="205" spans="1:8" s="114" customFormat="1" ht="34.5" customHeight="1">
      <c r="A205" s="703"/>
      <c r="B205" s="704"/>
      <c r="C205" s="575">
        <v>2710</v>
      </c>
      <c r="D205" s="424" t="s">
        <v>318</v>
      </c>
      <c r="E205" s="675">
        <v>700</v>
      </c>
      <c r="F205" s="673">
        <v>700</v>
      </c>
      <c r="G205" s="673">
        <v>0</v>
      </c>
      <c r="H205" s="674">
        <f t="shared" ref="H205:H215" si="15">F205/E205*100</f>
        <v>100</v>
      </c>
    </row>
    <row r="206" spans="1:8" s="114" customFormat="1" ht="12">
      <c r="A206" s="703"/>
      <c r="B206" s="573">
        <v>85407</v>
      </c>
      <c r="C206" s="573"/>
      <c r="D206" s="424" t="s">
        <v>60</v>
      </c>
      <c r="E206" s="675">
        <f>SUM(E207:E210)</f>
        <v>23888</v>
      </c>
      <c r="F206" s="673">
        <f>SUM(F207:F210)</f>
        <v>8542.33</v>
      </c>
      <c r="G206" s="673">
        <v>0</v>
      </c>
      <c r="H206" s="674">
        <f t="shared" si="15"/>
        <v>35.759921299397185</v>
      </c>
    </row>
    <row r="207" spans="1:8" s="114" customFormat="1" ht="43.5" customHeight="1">
      <c r="A207" s="703"/>
      <c r="B207" s="710"/>
      <c r="C207" s="575" t="s">
        <v>36</v>
      </c>
      <c r="D207" s="424" t="s">
        <v>209</v>
      </c>
      <c r="E207" s="675">
        <v>6500</v>
      </c>
      <c r="F207" s="673">
        <v>2100</v>
      </c>
      <c r="G207" s="673">
        <v>0</v>
      </c>
      <c r="H207" s="674">
        <f t="shared" si="15"/>
        <v>32.307692307692307</v>
      </c>
    </row>
    <row r="208" spans="1:8" s="114" customFormat="1" ht="12">
      <c r="A208" s="703"/>
      <c r="B208" s="710"/>
      <c r="C208" s="575" t="s">
        <v>70</v>
      </c>
      <c r="D208" s="424" t="s">
        <v>72</v>
      </c>
      <c r="E208" s="675">
        <v>17000</v>
      </c>
      <c r="F208" s="673">
        <v>6060</v>
      </c>
      <c r="G208" s="673">
        <v>0</v>
      </c>
      <c r="H208" s="674">
        <f t="shared" si="15"/>
        <v>35.647058823529406</v>
      </c>
    </row>
    <row r="209" spans="1:8" s="114" customFormat="1" ht="12">
      <c r="A209" s="703"/>
      <c r="B209" s="710"/>
      <c r="C209" s="575" t="s">
        <v>64</v>
      </c>
      <c r="D209" s="424" t="s">
        <v>74</v>
      </c>
      <c r="E209" s="675">
        <v>323</v>
      </c>
      <c r="F209" s="673">
        <v>345.33</v>
      </c>
      <c r="G209" s="673">
        <v>0</v>
      </c>
      <c r="H209" s="674">
        <f t="shared" si="15"/>
        <v>106.91331269349844</v>
      </c>
    </row>
    <row r="210" spans="1:8" s="114" customFormat="1" ht="12">
      <c r="A210" s="703"/>
      <c r="B210" s="710"/>
      <c r="C210" s="575" t="s">
        <v>71</v>
      </c>
      <c r="D210" s="424" t="s">
        <v>73</v>
      </c>
      <c r="E210" s="675">
        <v>65</v>
      </c>
      <c r="F210" s="673">
        <v>37</v>
      </c>
      <c r="G210" s="673">
        <v>0</v>
      </c>
      <c r="H210" s="674">
        <f t="shared" si="15"/>
        <v>56.92307692307692</v>
      </c>
    </row>
    <row r="211" spans="1:8" s="114" customFormat="1" ht="12">
      <c r="A211" s="703"/>
      <c r="B211" s="573">
        <v>85410</v>
      </c>
      <c r="C211" s="573"/>
      <c r="D211" s="424" t="s">
        <v>61</v>
      </c>
      <c r="E211" s="675">
        <f>E212+E215</f>
        <v>142623</v>
      </c>
      <c r="F211" s="673">
        <f>F212+F215</f>
        <v>105044.71</v>
      </c>
      <c r="G211" s="673">
        <v>0</v>
      </c>
      <c r="H211" s="674">
        <f t="shared" si="15"/>
        <v>73.652012648731287</v>
      </c>
    </row>
    <row r="212" spans="1:8" s="114" customFormat="1" ht="12">
      <c r="A212" s="703"/>
      <c r="B212" s="702"/>
      <c r="C212" s="573"/>
      <c r="D212" s="603" t="s">
        <v>281</v>
      </c>
      <c r="E212" s="692">
        <f>E213+E214</f>
        <v>67623</v>
      </c>
      <c r="F212" s="696">
        <f>F213+F214</f>
        <v>23992</v>
      </c>
      <c r="G212" s="673">
        <v>0</v>
      </c>
      <c r="H212" s="685">
        <f t="shared" si="15"/>
        <v>35.479052984931165</v>
      </c>
    </row>
    <row r="213" spans="1:8" s="114" customFormat="1" ht="34.5" customHeight="1">
      <c r="A213" s="703"/>
      <c r="B213" s="703"/>
      <c r="C213" s="575" t="s">
        <v>36</v>
      </c>
      <c r="D213" s="424" t="s">
        <v>209</v>
      </c>
      <c r="E213" s="675">
        <v>150</v>
      </c>
      <c r="F213" s="673">
        <v>150</v>
      </c>
      <c r="G213" s="673">
        <v>0</v>
      </c>
      <c r="H213" s="674">
        <f t="shared" si="15"/>
        <v>100</v>
      </c>
    </row>
    <row r="214" spans="1:8" s="114" customFormat="1" ht="12">
      <c r="A214" s="703"/>
      <c r="B214" s="703"/>
      <c r="C214" s="575" t="s">
        <v>70</v>
      </c>
      <c r="D214" s="424" t="s">
        <v>72</v>
      </c>
      <c r="E214" s="675">
        <v>67473</v>
      </c>
      <c r="F214" s="673">
        <v>23842</v>
      </c>
      <c r="G214" s="673">
        <v>0</v>
      </c>
      <c r="H214" s="674">
        <f t="shared" si="15"/>
        <v>35.335615727772591</v>
      </c>
    </row>
    <row r="215" spans="1:8" s="114" customFormat="1" ht="12">
      <c r="A215" s="703"/>
      <c r="B215" s="703"/>
      <c r="C215" s="575"/>
      <c r="D215" s="603" t="s">
        <v>282</v>
      </c>
      <c r="E215" s="692">
        <f>E217</f>
        <v>75000</v>
      </c>
      <c r="F215" s="696">
        <f>F216+F217</f>
        <v>81052.710000000006</v>
      </c>
      <c r="G215" s="673">
        <v>0</v>
      </c>
      <c r="H215" s="685">
        <f t="shared" si="15"/>
        <v>108.07028000000001</v>
      </c>
    </row>
    <row r="216" spans="1:8" s="114" customFormat="1" ht="44.25" customHeight="1">
      <c r="A216" s="703"/>
      <c r="B216" s="703"/>
      <c r="C216" s="575" t="s">
        <v>36</v>
      </c>
      <c r="D216" s="424" t="s">
        <v>209</v>
      </c>
      <c r="E216" s="675">
        <v>0</v>
      </c>
      <c r="F216" s="673">
        <v>7963.85</v>
      </c>
      <c r="G216" s="673">
        <v>0</v>
      </c>
      <c r="H216" s="674"/>
    </row>
    <row r="217" spans="1:8" s="114" customFormat="1" ht="12">
      <c r="A217" s="703"/>
      <c r="B217" s="704"/>
      <c r="C217" s="575" t="s">
        <v>70</v>
      </c>
      <c r="D217" s="424" t="s">
        <v>72</v>
      </c>
      <c r="E217" s="675">
        <v>75000</v>
      </c>
      <c r="F217" s="673">
        <v>73088.86</v>
      </c>
      <c r="G217" s="673">
        <v>0</v>
      </c>
      <c r="H217" s="674">
        <f t="shared" ref="H217:H223" si="16">F217/E217*100</f>
        <v>97.451813333333334</v>
      </c>
    </row>
    <row r="218" spans="1:8" s="114" customFormat="1" ht="12">
      <c r="A218" s="703"/>
      <c r="B218" s="573">
        <v>85415</v>
      </c>
      <c r="C218" s="575"/>
      <c r="D218" s="424" t="s">
        <v>113</v>
      </c>
      <c r="E218" s="675">
        <f>E219</f>
        <v>9600</v>
      </c>
      <c r="F218" s="673">
        <f>F219</f>
        <v>9600</v>
      </c>
      <c r="G218" s="673">
        <v>0</v>
      </c>
      <c r="H218" s="674">
        <f>F218/E218*100</f>
        <v>100</v>
      </c>
    </row>
    <row r="219" spans="1:8" s="114" customFormat="1" ht="23.25" customHeight="1">
      <c r="A219" s="703"/>
      <c r="B219" s="478"/>
      <c r="C219" s="575">
        <v>2130</v>
      </c>
      <c r="D219" s="424" t="s">
        <v>40</v>
      </c>
      <c r="E219" s="675">
        <v>9600</v>
      </c>
      <c r="F219" s="673">
        <v>9600</v>
      </c>
      <c r="G219" s="673">
        <v>0</v>
      </c>
      <c r="H219" s="674">
        <f t="shared" si="16"/>
        <v>100</v>
      </c>
    </row>
    <row r="220" spans="1:8" s="114" customFormat="1" ht="12">
      <c r="A220" s="703"/>
      <c r="B220" s="573">
        <v>85420</v>
      </c>
      <c r="C220" s="575"/>
      <c r="D220" s="424" t="s">
        <v>147</v>
      </c>
      <c r="E220" s="675">
        <f>E221+E222+E223</f>
        <v>36386</v>
      </c>
      <c r="F220" s="673">
        <f>F221+F222+F223</f>
        <v>13633.619999999999</v>
      </c>
      <c r="G220" s="673">
        <v>0</v>
      </c>
      <c r="H220" s="674">
        <f t="shared" si="16"/>
        <v>37.469411312043086</v>
      </c>
    </row>
    <row r="221" spans="1:8" s="114" customFormat="1" ht="12">
      <c r="A221" s="703"/>
      <c r="B221" s="702"/>
      <c r="C221" s="575" t="s">
        <v>70</v>
      </c>
      <c r="D221" s="424" t="s">
        <v>72</v>
      </c>
      <c r="E221" s="675">
        <v>35086</v>
      </c>
      <c r="F221" s="673">
        <v>13143.46</v>
      </c>
      <c r="G221" s="673">
        <v>0</v>
      </c>
      <c r="H221" s="674">
        <f t="shared" si="16"/>
        <v>37.460696574132129</v>
      </c>
    </row>
    <row r="222" spans="1:8" s="114" customFormat="1" ht="12">
      <c r="A222" s="703"/>
      <c r="B222" s="703"/>
      <c r="C222" s="575" t="s">
        <v>64</v>
      </c>
      <c r="D222" s="424" t="s">
        <v>74</v>
      </c>
      <c r="E222" s="675">
        <v>300</v>
      </c>
      <c r="F222" s="673">
        <v>490.16</v>
      </c>
      <c r="G222" s="673">
        <v>0</v>
      </c>
      <c r="H222" s="674">
        <f t="shared" si="16"/>
        <v>163.38666666666668</v>
      </c>
    </row>
    <row r="223" spans="1:8" s="114" customFormat="1" ht="12">
      <c r="A223" s="704"/>
      <c r="B223" s="704"/>
      <c r="C223" s="575" t="s">
        <v>71</v>
      </c>
      <c r="D223" s="424" t="s">
        <v>73</v>
      </c>
      <c r="E223" s="675">
        <v>1000</v>
      </c>
      <c r="F223" s="673">
        <v>0</v>
      </c>
      <c r="G223" s="673">
        <v>0</v>
      </c>
      <c r="H223" s="674">
        <f t="shared" si="16"/>
        <v>0</v>
      </c>
    </row>
    <row r="224" spans="1:8" s="114" customFormat="1" ht="12">
      <c r="A224" s="608">
        <v>926</v>
      </c>
      <c r="B224" s="608"/>
      <c r="C224" s="609"/>
      <c r="D224" s="582" t="s">
        <v>114</v>
      </c>
      <c r="E224" s="678">
        <v>150000</v>
      </c>
      <c r="F224" s="679">
        <f>F225</f>
        <v>0</v>
      </c>
      <c r="G224" s="679">
        <f>G225</f>
        <v>150000</v>
      </c>
      <c r="H224" s="671">
        <f>G224/E224*100</f>
        <v>100</v>
      </c>
    </row>
    <row r="225" spans="1:8" s="114" customFormat="1" ht="12">
      <c r="A225" s="702"/>
      <c r="B225" s="479">
        <v>92601</v>
      </c>
      <c r="C225" s="575"/>
      <c r="D225" s="424" t="s">
        <v>183</v>
      </c>
      <c r="E225" s="675">
        <v>150000</v>
      </c>
      <c r="F225" s="673">
        <f>F226</f>
        <v>0</v>
      </c>
      <c r="G225" s="673">
        <f>G226</f>
        <v>150000</v>
      </c>
      <c r="H225" s="699">
        <f t="shared" ref="H225:H226" si="17">G225/E225*100</f>
        <v>100</v>
      </c>
    </row>
    <row r="226" spans="1:8" s="114" customFormat="1" ht="45" customHeight="1">
      <c r="A226" s="704"/>
      <c r="B226" s="479"/>
      <c r="C226" s="575">
        <v>6260</v>
      </c>
      <c r="D226" s="424" t="s">
        <v>319</v>
      </c>
      <c r="E226" s="675">
        <v>150000</v>
      </c>
      <c r="F226" s="673">
        <v>0</v>
      </c>
      <c r="G226" s="673">
        <v>150000</v>
      </c>
      <c r="H226" s="699">
        <f t="shared" si="17"/>
        <v>100</v>
      </c>
    </row>
    <row r="227" spans="1:8" s="114" customFormat="1" ht="12">
      <c r="A227" s="729" t="s">
        <v>41</v>
      </c>
      <c r="B227" s="729"/>
      <c r="C227" s="729"/>
      <c r="D227" s="729"/>
      <c r="E227" s="571">
        <f>E11+E18+E21+E24+E32+E42+E52+E66+E73+E85+E94+E148+E153+E185+E200+E224</f>
        <v>40409552</v>
      </c>
      <c r="F227" s="572">
        <f>F11+F18+F21+F24+F32+F42+F52+F66+F73+F85+F94+F148+F153+F185+F200+F224</f>
        <v>21990381.300000001</v>
      </c>
      <c r="G227" s="572">
        <f>G11+G18+G21+G24+G32+G42+G52+G66+G73+G85+G94+G148+G153+G185+G200+G224</f>
        <v>1721025.44</v>
      </c>
      <c r="H227" s="610">
        <f>(F227+G227)/E227*100</f>
        <v>58.677727335358732</v>
      </c>
    </row>
  </sheetData>
  <mergeCells count="55">
    <mergeCell ref="A227:D227"/>
    <mergeCell ref="A149:A152"/>
    <mergeCell ref="A154:A184"/>
    <mergeCell ref="B168:B170"/>
    <mergeCell ref="B177:B178"/>
    <mergeCell ref="B180:B184"/>
    <mergeCell ref="A201:A223"/>
    <mergeCell ref="B202:B205"/>
    <mergeCell ref="B207:B210"/>
    <mergeCell ref="B155:B166"/>
    <mergeCell ref="B172:B175"/>
    <mergeCell ref="B196:B199"/>
    <mergeCell ref="A186:A199"/>
    <mergeCell ref="B212:B217"/>
    <mergeCell ref="B221:B223"/>
    <mergeCell ref="A225:A226"/>
    <mergeCell ref="B68:B70"/>
    <mergeCell ref="B83:B84"/>
    <mergeCell ref="A86:A93"/>
    <mergeCell ref="B96:B98"/>
    <mergeCell ref="B75:B81"/>
    <mergeCell ref="A67:A72"/>
    <mergeCell ref="A74:A84"/>
    <mergeCell ref="A95:A147"/>
    <mergeCell ref="B145:B147"/>
    <mergeCell ref="B100:B116"/>
    <mergeCell ref="B118:B123"/>
    <mergeCell ref="B125:B143"/>
    <mergeCell ref="B62:B63"/>
    <mergeCell ref="B56:B60"/>
    <mergeCell ref="A53:A65"/>
    <mergeCell ref="B48:B51"/>
    <mergeCell ref="A43:A51"/>
    <mergeCell ref="A22:A23"/>
    <mergeCell ref="F7:G7"/>
    <mergeCell ref="G8:G9"/>
    <mergeCell ref="F8:F9"/>
    <mergeCell ref="A33:A41"/>
    <mergeCell ref="B34:B41"/>
    <mergeCell ref="B189:B192"/>
    <mergeCell ref="D1:H1"/>
    <mergeCell ref="A2:H2"/>
    <mergeCell ref="A3:H3"/>
    <mergeCell ref="A4:H4"/>
    <mergeCell ref="A5:H5"/>
    <mergeCell ref="H7:H9"/>
    <mergeCell ref="A12:A17"/>
    <mergeCell ref="A19:A20"/>
    <mergeCell ref="A25:A31"/>
    <mergeCell ref="B26:B31"/>
    <mergeCell ref="A7:A9"/>
    <mergeCell ref="B7:B9"/>
    <mergeCell ref="C7:C9"/>
    <mergeCell ref="D7:D9"/>
    <mergeCell ref="E7:E9"/>
  </mergeCells>
  <pageMargins left="0.7" right="0.7" top="0.75" bottom="0.75" header="0.3" footer="0.3"/>
  <pageSetup paperSize="9" orientation="portrait" r:id="rId1"/>
  <headerFooter>
    <oddFooter>&amp;C&amp;"Times New (W1),Normalny"Załącznik Nr 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G31"/>
  <sheetViews>
    <sheetView view="pageLayout" workbookViewId="0">
      <selection activeCell="E16" sqref="E16"/>
    </sheetView>
  </sheetViews>
  <sheetFormatPr defaultRowHeight="12.75"/>
  <cols>
    <col min="1" max="1" width="5" style="59" customWidth="1"/>
    <col min="2" max="2" width="6.5703125" style="59" customWidth="1"/>
    <col min="3" max="3" width="7.85546875" style="59" customWidth="1"/>
    <col min="4" max="4" width="34.140625" style="59" customWidth="1"/>
    <col min="5" max="5" width="13.5703125" style="59" customWidth="1"/>
    <col min="6" max="6" width="15" style="59" customWidth="1"/>
    <col min="7" max="7" width="6.140625" style="59" customWidth="1"/>
    <col min="8" max="16384" width="9.140625" style="59"/>
  </cols>
  <sheetData>
    <row r="1" spans="1:7" ht="15.75" customHeight="1">
      <c r="B1" s="798"/>
      <c r="C1" s="798"/>
      <c r="D1" s="705" t="s">
        <v>460</v>
      </c>
      <c r="E1" s="705"/>
      <c r="F1" s="705"/>
      <c r="G1" s="705"/>
    </row>
    <row r="3" spans="1:7" ht="15.75" customHeight="1">
      <c r="A3" s="796" t="s">
        <v>384</v>
      </c>
      <c r="B3" s="796"/>
      <c r="C3" s="796"/>
      <c r="D3" s="796"/>
      <c r="E3" s="796"/>
      <c r="F3" s="796"/>
      <c r="G3" s="796"/>
    </row>
    <row r="4" spans="1:7" ht="15.75" customHeight="1">
      <c r="A4" s="796" t="s">
        <v>385</v>
      </c>
      <c r="B4" s="796"/>
      <c r="C4" s="796"/>
      <c r="D4" s="796"/>
      <c r="E4" s="796"/>
      <c r="F4" s="796"/>
      <c r="G4" s="796"/>
    </row>
    <row r="5" spans="1:7" ht="15.75" customHeight="1">
      <c r="A5" s="796" t="s">
        <v>378</v>
      </c>
      <c r="B5" s="796"/>
      <c r="C5" s="796"/>
      <c r="D5" s="796"/>
      <c r="E5" s="796"/>
      <c r="F5" s="796"/>
      <c r="G5" s="796"/>
    </row>
    <row r="6" spans="1:7" ht="15.75" customHeight="1">
      <c r="A6" s="796" t="s">
        <v>386</v>
      </c>
      <c r="B6" s="796"/>
      <c r="C6" s="796"/>
      <c r="D6" s="796"/>
      <c r="E6" s="796"/>
      <c r="F6" s="796"/>
      <c r="G6" s="796"/>
    </row>
    <row r="7" spans="1:7" s="365" customFormat="1" ht="15.75" customHeight="1">
      <c r="A7" s="796" t="s">
        <v>320</v>
      </c>
      <c r="B7" s="796"/>
      <c r="C7" s="796"/>
      <c r="D7" s="796"/>
      <c r="E7" s="796"/>
      <c r="F7" s="796"/>
      <c r="G7" s="796"/>
    </row>
    <row r="8" spans="1:7" ht="15.75">
      <c r="A8" s="448"/>
      <c r="B8" s="448"/>
      <c r="C8" s="448"/>
      <c r="D8" s="448"/>
      <c r="E8" s="449"/>
      <c r="F8" s="358" t="s">
        <v>206</v>
      </c>
      <c r="G8" s="365"/>
    </row>
    <row r="9" spans="1:7">
      <c r="A9" s="450" t="s">
        <v>365</v>
      </c>
      <c r="B9" s="450" t="s">
        <v>0</v>
      </c>
      <c r="C9" s="450" t="s">
        <v>13</v>
      </c>
      <c r="D9" s="450" t="s">
        <v>379</v>
      </c>
      <c r="E9" s="451" t="s">
        <v>380</v>
      </c>
      <c r="F9" s="458" t="s">
        <v>144</v>
      </c>
      <c r="G9" s="367" t="s">
        <v>155</v>
      </c>
    </row>
    <row r="10" spans="1:7">
      <c r="A10" s="460">
        <v>1</v>
      </c>
      <c r="B10" s="460">
        <v>2</v>
      </c>
      <c r="C10" s="460">
        <v>3</v>
      </c>
      <c r="D10" s="460">
        <v>4</v>
      </c>
      <c r="E10" s="460">
        <v>5</v>
      </c>
      <c r="F10" s="460">
        <v>6</v>
      </c>
      <c r="G10" s="460">
        <v>7</v>
      </c>
    </row>
    <row r="11" spans="1:7" ht="51">
      <c r="A11" s="463">
        <v>1</v>
      </c>
      <c r="B11" s="463">
        <v>852</v>
      </c>
      <c r="C11" s="463">
        <v>85201</v>
      </c>
      <c r="D11" s="65" t="s">
        <v>381</v>
      </c>
      <c r="E11" s="454">
        <v>84581</v>
      </c>
      <c r="F11" s="444">
        <v>35014.269999999997</v>
      </c>
      <c r="G11" s="554">
        <f t="shared" ref="G11:G13" si="0">F11/E11*100</f>
        <v>41.397323275913031</v>
      </c>
    </row>
    <row r="12" spans="1:7" ht="38.25">
      <c r="A12" s="463">
        <v>2</v>
      </c>
      <c r="B12" s="463">
        <v>852</v>
      </c>
      <c r="C12" s="463">
        <v>85204</v>
      </c>
      <c r="D12" s="65" t="s">
        <v>382</v>
      </c>
      <c r="E12" s="454">
        <v>79344</v>
      </c>
      <c r="F12" s="444">
        <v>45190.87</v>
      </c>
      <c r="G12" s="554">
        <f t="shared" si="0"/>
        <v>56.955623613631779</v>
      </c>
    </row>
    <row r="13" spans="1:7">
      <c r="A13" s="793" t="s">
        <v>201</v>
      </c>
      <c r="B13" s="794"/>
      <c r="C13" s="794"/>
      <c r="D13" s="795"/>
      <c r="E13" s="456">
        <f>E11+E12</f>
        <v>163925</v>
      </c>
      <c r="F13" s="186">
        <f>SUM(F11:F12)</f>
        <v>80205.14</v>
      </c>
      <c r="G13" s="461">
        <f t="shared" si="0"/>
        <v>48.927948757053528</v>
      </c>
    </row>
    <row r="14" spans="1:7">
      <c r="A14" s="365"/>
      <c r="B14" s="365"/>
      <c r="C14" s="365"/>
      <c r="D14" s="365"/>
      <c r="E14" s="365"/>
      <c r="F14" s="365"/>
      <c r="G14" s="365"/>
    </row>
    <row r="17" spans="1:7">
      <c r="A17"/>
      <c r="B17"/>
      <c r="C17"/>
      <c r="D17"/>
      <c r="E17"/>
      <c r="F17" s="705" t="s">
        <v>461</v>
      </c>
      <c r="G17" s="705"/>
    </row>
    <row r="18" spans="1:7">
      <c r="A18"/>
      <c r="B18"/>
      <c r="C18"/>
      <c r="D18"/>
      <c r="E18"/>
      <c r="F18"/>
      <c r="G18"/>
    </row>
    <row r="19" spans="1:7">
      <c r="A19"/>
      <c r="B19"/>
      <c r="C19"/>
      <c r="D19"/>
      <c r="E19"/>
      <c r="F19"/>
      <c r="G19"/>
    </row>
    <row r="20" spans="1:7" ht="15.75">
      <c r="A20" s="796" t="s">
        <v>390</v>
      </c>
      <c r="B20" s="796"/>
      <c r="C20" s="796"/>
      <c r="D20" s="796"/>
      <c r="E20" s="796"/>
      <c r="F20" s="796"/>
      <c r="G20" s="796"/>
    </row>
    <row r="21" spans="1:7" ht="15.75">
      <c r="A21" s="796" t="s">
        <v>385</v>
      </c>
      <c r="B21" s="796"/>
      <c r="C21" s="796"/>
      <c r="D21" s="796"/>
      <c r="E21" s="796"/>
      <c r="F21" s="796"/>
      <c r="G21" s="796"/>
    </row>
    <row r="22" spans="1:7" ht="15.75">
      <c r="A22" s="796" t="s">
        <v>378</v>
      </c>
      <c r="B22" s="796"/>
      <c r="C22" s="796"/>
      <c r="D22" s="796"/>
      <c r="E22" s="796"/>
      <c r="F22" s="796"/>
      <c r="G22" s="796"/>
    </row>
    <row r="23" spans="1:7" ht="15.75">
      <c r="A23" s="796" t="s">
        <v>391</v>
      </c>
      <c r="B23" s="796"/>
      <c r="C23" s="796"/>
      <c r="D23" s="796"/>
      <c r="E23" s="796"/>
      <c r="F23" s="796"/>
      <c r="G23" s="796"/>
    </row>
    <row r="24" spans="1:7" ht="15.75">
      <c r="A24" s="796" t="s">
        <v>320</v>
      </c>
      <c r="B24" s="796"/>
      <c r="C24" s="796"/>
      <c r="D24" s="796"/>
      <c r="E24" s="796"/>
      <c r="F24" s="796"/>
      <c r="G24" s="796"/>
    </row>
    <row r="25" spans="1:7" ht="15.75">
      <c r="A25" s="448"/>
      <c r="B25" s="448"/>
      <c r="C25" s="448"/>
      <c r="D25" s="448"/>
      <c r="E25" s="449"/>
      <c r="F25" s="358" t="s">
        <v>206</v>
      </c>
      <c r="G25" s="365"/>
    </row>
    <row r="26" spans="1:7">
      <c r="A26" s="450" t="s">
        <v>365</v>
      </c>
      <c r="B26" s="450" t="s">
        <v>0</v>
      </c>
      <c r="C26" s="450" t="s">
        <v>13</v>
      </c>
      <c r="D26" s="450" t="s">
        <v>379</v>
      </c>
      <c r="E26" s="451" t="s">
        <v>202</v>
      </c>
      <c r="F26" s="464" t="s">
        <v>144</v>
      </c>
      <c r="G26" s="367" t="s">
        <v>155</v>
      </c>
    </row>
    <row r="27" spans="1:7">
      <c r="A27" s="452">
        <v>1</v>
      </c>
      <c r="B27" s="452">
        <v>2</v>
      </c>
      <c r="C27" s="452">
        <v>3</v>
      </c>
      <c r="D27" s="452">
        <v>4</v>
      </c>
      <c r="E27" s="452">
        <v>5</v>
      </c>
      <c r="F27" s="460">
        <v>6</v>
      </c>
      <c r="G27" s="460">
        <v>7</v>
      </c>
    </row>
    <row r="28" spans="1:7" ht="38.25">
      <c r="A28" s="463">
        <v>1</v>
      </c>
      <c r="B28" s="463">
        <v>852</v>
      </c>
      <c r="C28" s="463">
        <v>85201</v>
      </c>
      <c r="D28" s="462" t="s">
        <v>387</v>
      </c>
      <c r="E28" s="454">
        <v>1608000</v>
      </c>
      <c r="F28" s="444">
        <v>489185.73</v>
      </c>
      <c r="G28" s="554">
        <f>F28/E28*100</f>
        <v>30.421998134328359</v>
      </c>
    </row>
    <row r="29" spans="1:7" ht="76.5">
      <c r="A29" s="463">
        <v>2</v>
      </c>
      <c r="B29" s="463">
        <v>852</v>
      </c>
      <c r="C29" s="463">
        <v>85202</v>
      </c>
      <c r="D29" s="462" t="s">
        <v>388</v>
      </c>
      <c r="E29" s="454">
        <v>1970000</v>
      </c>
      <c r="F29" s="444">
        <v>925015</v>
      </c>
      <c r="G29" s="554">
        <f t="shared" ref="G29:G31" si="1">F29/E29*100</f>
        <v>46.955076142131979</v>
      </c>
    </row>
    <row r="30" spans="1:7" ht="51">
      <c r="A30" s="463">
        <v>3</v>
      </c>
      <c r="B30" s="463">
        <v>926</v>
      </c>
      <c r="C30" s="463">
        <v>92605</v>
      </c>
      <c r="D30" s="462" t="s">
        <v>389</v>
      </c>
      <c r="E30" s="454">
        <v>34000</v>
      </c>
      <c r="F30" s="444">
        <v>19000</v>
      </c>
      <c r="G30" s="554">
        <f t="shared" si="1"/>
        <v>55.882352941176471</v>
      </c>
    </row>
    <row r="31" spans="1:7">
      <c r="A31" s="797" t="s">
        <v>201</v>
      </c>
      <c r="B31" s="797"/>
      <c r="C31" s="797"/>
      <c r="D31" s="797"/>
      <c r="E31" s="456">
        <f>E28+E29+E30</f>
        <v>3612000</v>
      </c>
      <c r="F31" s="186">
        <f>SUM(F28:F30)</f>
        <v>1433200.73</v>
      </c>
      <c r="G31" s="461">
        <f t="shared" si="1"/>
        <v>39.678868493909192</v>
      </c>
    </row>
  </sheetData>
  <mergeCells count="15">
    <mergeCell ref="B1:C1"/>
    <mergeCell ref="A13:D13"/>
    <mergeCell ref="A3:G3"/>
    <mergeCell ref="A6:G6"/>
    <mergeCell ref="A7:G7"/>
    <mergeCell ref="A4:G4"/>
    <mergeCell ref="A5:G5"/>
    <mergeCell ref="D1:G1"/>
    <mergeCell ref="F17:G17"/>
    <mergeCell ref="A31:D31"/>
    <mergeCell ref="A20:G20"/>
    <mergeCell ref="A21:G21"/>
    <mergeCell ref="A22:G22"/>
    <mergeCell ref="A23:G23"/>
    <mergeCell ref="A24:G24"/>
  </mergeCells>
  <pageMargins left="0.7" right="0.7" top="0.75" bottom="0.75" header="0.3" footer="0.3"/>
  <pageSetup paperSize="9" orientation="portrait" r:id="rId1"/>
  <headerFooter>
    <oddFooter>&amp;C&amp;"Times New (W1),Normalny"Załączniki Nr 8 i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H32"/>
  <sheetViews>
    <sheetView view="pageLayout" workbookViewId="0">
      <selection activeCell="D16" sqref="D16"/>
    </sheetView>
  </sheetViews>
  <sheetFormatPr defaultRowHeight="12.75"/>
  <cols>
    <col min="1" max="1" width="3.85546875" customWidth="1"/>
    <col min="2" max="2" width="6.28515625" customWidth="1"/>
    <col min="3" max="3" width="9" customWidth="1"/>
    <col min="4" max="4" width="22.7109375" customWidth="1"/>
    <col min="5" max="5" width="15.42578125" customWidth="1"/>
    <col min="6" max="6" width="12.42578125" bestFit="1" customWidth="1"/>
    <col min="7" max="7" width="12.7109375" customWidth="1"/>
    <col min="8" max="8" width="6.85546875" customWidth="1"/>
  </cols>
  <sheetData>
    <row r="1" spans="1:8">
      <c r="A1" s="365"/>
      <c r="B1" s="365"/>
      <c r="C1" s="365"/>
      <c r="D1" s="365"/>
      <c r="E1" s="365"/>
      <c r="F1" s="365"/>
      <c r="G1" s="705" t="s">
        <v>25</v>
      </c>
      <c r="H1" s="705"/>
    </row>
    <row r="2" spans="1:8">
      <c r="A2" s="365"/>
      <c r="B2" s="365"/>
      <c r="C2" s="365"/>
      <c r="D2" s="365"/>
      <c r="E2" s="365"/>
      <c r="F2" s="365"/>
      <c r="G2" s="365"/>
      <c r="H2" s="365"/>
    </row>
    <row r="3" spans="1:8" ht="15.75">
      <c r="A3" s="760" t="s">
        <v>394</v>
      </c>
      <c r="B3" s="760"/>
      <c r="C3" s="760"/>
      <c r="D3" s="760"/>
      <c r="E3" s="760"/>
      <c r="F3" s="760"/>
      <c r="G3" s="760"/>
      <c r="H3" s="760"/>
    </row>
    <row r="4" spans="1:8" ht="15.75">
      <c r="A4" s="760" t="s">
        <v>385</v>
      </c>
      <c r="B4" s="760"/>
      <c r="C4" s="760"/>
      <c r="D4" s="760"/>
      <c r="E4" s="760"/>
      <c r="F4" s="760"/>
      <c r="G4" s="760"/>
      <c r="H4" s="760"/>
    </row>
    <row r="5" spans="1:8" ht="15.75">
      <c r="A5" s="760" t="s">
        <v>395</v>
      </c>
      <c r="B5" s="760"/>
      <c r="C5" s="760"/>
      <c r="D5" s="760"/>
      <c r="E5" s="760"/>
      <c r="F5" s="760"/>
      <c r="G5" s="760"/>
      <c r="H5" s="760"/>
    </row>
    <row r="6" spans="1:8" ht="15.75">
      <c r="A6" s="760" t="s">
        <v>320</v>
      </c>
      <c r="B6" s="760"/>
      <c r="C6" s="760"/>
      <c r="D6" s="760"/>
      <c r="E6" s="760"/>
      <c r="F6" s="760"/>
      <c r="G6" s="760"/>
      <c r="H6" s="760"/>
    </row>
    <row r="7" spans="1:8" ht="15.75">
      <c r="A7" s="448"/>
      <c r="B7" s="448"/>
      <c r="C7" s="448"/>
      <c r="D7" s="448"/>
      <c r="E7" s="448"/>
      <c r="F7" s="466"/>
      <c r="G7" s="358" t="s">
        <v>206</v>
      </c>
      <c r="H7" s="365"/>
    </row>
    <row r="8" spans="1:8" s="465" customFormat="1" ht="38.25">
      <c r="A8" s="450" t="s">
        <v>365</v>
      </c>
      <c r="B8" s="450" t="s">
        <v>0</v>
      </c>
      <c r="C8" s="450" t="s">
        <v>13</v>
      </c>
      <c r="D8" s="450" t="s">
        <v>379</v>
      </c>
      <c r="E8" s="451" t="s">
        <v>392</v>
      </c>
      <c r="F8" s="451" t="s">
        <v>202</v>
      </c>
      <c r="G8" s="450" t="s">
        <v>144</v>
      </c>
      <c r="H8" s="450" t="s">
        <v>155</v>
      </c>
    </row>
    <row r="9" spans="1:8">
      <c r="A9" s="452">
        <v>1</v>
      </c>
      <c r="B9" s="452">
        <v>2</v>
      </c>
      <c r="C9" s="452">
        <v>3</v>
      </c>
      <c r="D9" s="452">
        <v>4</v>
      </c>
      <c r="E9" s="452">
        <v>5</v>
      </c>
      <c r="F9" s="452">
        <v>6</v>
      </c>
      <c r="G9" s="467">
        <v>7</v>
      </c>
      <c r="H9" s="467">
        <v>8</v>
      </c>
    </row>
    <row r="10" spans="1:8" ht="42.75" customHeight="1">
      <c r="A10" s="555">
        <v>1</v>
      </c>
      <c r="B10" s="555">
        <v>754</v>
      </c>
      <c r="C10" s="555">
        <v>75412</v>
      </c>
      <c r="D10" s="469" t="s">
        <v>396</v>
      </c>
      <c r="E10" s="551" t="s">
        <v>393</v>
      </c>
      <c r="F10" s="454">
        <v>35000</v>
      </c>
      <c r="G10" s="549">
        <v>35000</v>
      </c>
      <c r="H10" s="550">
        <v>100</v>
      </c>
    </row>
    <row r="11" spans="1:8">
      <c r="A11" s="793" t="s">
        <v>201</v>
      </c>
      <c r="B11" s="794"/>
      <c r="C11" s="794"/>
      <c r="D11" s="794"/>
      <c r="E11" s="795"/>
      <c r="F11" s="468">
        <f>F10</f>
        <v>35000</v>
      </c>
      <c r="G11" s="186">
        <f>G10</f>
        <v>35000</v>
      </c>
      <c r="H11" s="461">
        <f>H10</f>
        <v>100</v>
      </c>
    </row>
    <row r="12" spans="1:8">
      <c r="A12" s="365"/>
      <c r="B12" s="365"/>
      <c r="C12" s="365"/>
      <c r="D12" s="365"/>
      <c r="E12" s="365"/>
      <c r="F12" s="365"/>
      <c r="G12" s="365"/>
      <c r="H12" s="365"/>
    </row>
    <row r="13" spans="1:8">
      <c r="A13" s="365"/>
      <c r="B13" s="365"/>
      <c r="C13" s="365"/>
      <c r="D13" s="365"/>
      <c r="E13" s="365"/>
      <c r="F13" s="365"/>
      <c r="G13" s="365"/>
      <c r="H13" s="365"/>
    </row>
    <row r="15" spans="1:8">
      <c r="A15" s="365"/>
      <c r="B15" s="365"/>
      <c r="C15" s="365"/>
      <c r="D15" s="365"/>
      <c r="E15" s="365"/>
      <c r="F15" s="365"/>
      <c r="G15" s="705" t="s">
        <v>26</v>
      </c>
      <c r="H15" s="705"/>
    </row>
    <row r="16" spans="1:8">
      <c r="A16" s="653"/>
      <c r="B16" s="653"/>
      <c r="C16" s="653"/>
      <c r="D16" s="653"/>
      <c r="E16" s="653"/>
      <c r="F16" s="653"/>
      <c r="G16" s="652"/>
      <c r="H16" s="652"/>
    </row>
    <row r="17" spans="1:8">
      <c r="A17" s="653"/>
      <c r="B17" s="653"/>
      <c r="C17" s="653"/>
      <c r="D17" s="653"/>
      <c r="E17" s="653"/>
      <c r="F17" s="653"/>
      <c r="G17" s="652"/>
      <c r="H17" s="652"/>
    </row>
    <row r="18" spans="1:8">
      <c r="A18" s="653"/>
      <c r="B18" s="653"/>
      <c r="C18" s="653"/>
      <c r="D18" s="653"/>
      <c r="E18" s="653"/>
      <c r="F18" s="653"/>
      <c r="G18" s="652"/>
      <c r="H18" s="652"/>
    </row>
    <row r="19" spans="1:8">
      <c r="A19" s="365"/>
      <c r="B19" s="365"/>
      <c r="C19" s="365"/>
      <c r="D19" s="365"/>
      <c r="E19" s="365"/>
      <c r="F19" s="365"/>
      <c r="G19" s="365"/>
      <c r="H19" s="365"/>
    </row>
    <row r="20" spans="1:8" ht="15.75">
      <c r="A20" s="760" t="s">
        <v>394</v>
      </c>
      <c r="B20" s="760"/>
      <c r="C20" s="760"/>
      <c r="D20" s="760"/>
      <c r="E20" s="760"/>
      <c r="F20" s="760"/>
      <c r="G20" s="760"/>
      <c r="H20" s="760"/>
    </row>
    <row r="21" spans="1:8" ht="15.75">
      <c r="A21" s="760" t="s">
        <v>474</v>
      </c>
      <c r="B21" s="760"/>
      <c r="C21" s="760"/>
      <c r="D21" s="760"/>
      <c r="E21" s="760"/>
      <c r="F21" s="760"/>
      <c r="G21" s="760"/>
      <c r="H21" s="760"/>
    </row>
    <row r="22" spans="1:8" ht="15.75">
      <c r="A22" s="760" t="s">
        <v>400</v>
      </c>
      <c r="B22" s="760"/>
      <c r="C22" s="760"/>
      <c r="D22" s="760"/>
      <c r="E22" s="760"/>
      <c r="F22" s="760"/>
      <c r="G22" s="760"/>
      <c r="H22" s="760"/>
    </row>
    <row r="23" spans="1:8" ht="15.75">
      <c r="A23" s="760" t="s">
        <v>320</v>
      </c>
      <c r="B23" s="760"/>
      <c r="C23" s="760"/>
      <c r="D23" s="760"/>
      <c r="E23" s="760"/>
      <c r="F23" s="760"/>
      <c r="G23" s="760"/>
      <c r="H23" s="760"/>
    </row>
    <row r="24" spans="1:8" ht="15.75">
      <c r="A24" s="448"/>
      <c r="B24" s="448"/>
      <c r="C24" s="448"/>
      <c r="D24" s="448"/>
      <c r="E24" s="448"/>
      <c r="F24" s="466"/>
      <c r="G24" s="358" t="s">
        <v>206</v>
      </c>
      <c r="H24" s="365"/>
    </row>
    <row r="25" spans="1:8" ht="38.25">
      <c r="A25" s="450" t="s">
        <v>365</v>
      </c>
      <c r="B25" s="450" t="s">
        <v>0</v>
      </c>
      <c r="C25" s="450" t="s">
        <v>13</v>
      </c>
      <c r="D25" s="450" t="s">
        <v>379</v>
      </c>
      <c r="E25" s="451" t="s">
        <v>392</v>
      </c>
      <c r="F25" s="451" t="s">
        <v>202</v>
      </c>
      <c r="G25" s="450" t="s">
        <v>144</v>
      </c>
      <c r="H25" s="450" t="s">
        <v>155</v>
      </c>
    </row>
    <row r="26" spans="1:8">
      <c r="A26" s="452">
        <v>1</v>
      </c>
      <c r="B26" s="452">
        <v>2</v>
      </c>
      <c r="C26" s="452">
        <v>3</v>
      </c>
      <c r="D26" s="452">
        <v>4</v>
      </c>
      <c r="E26" s="452">
        <v>5</v>
      </c>
      <c r="F26" s="452">
        <v>6</v>
      </c>
      <c r="G26" s="467">
        <v>7</v>
      </c>
      <c r="H26" s="467">
        <v>8</v>
      </c>
    </row>
    <row r="27" spans="1:8" ht="30.75" customHeight="1">
      <c r="A27" s="472">
        <v>1</v>
      </c>
      <c r="B27" s="799">
        <v>853</v>
      </c>
      <c r="C27" s="799">
        <v>85395</v>
      </c>
      <c r="D27" s="800" t="s">
        <v>401</v>
      </c>
      <c r="E27" s="552" t="s">
        <v>397</v>
      </c>
      <c r="F27" s="454">
        <v>224051</v>
      </c>
      <c r="G27" s="549">
        <v>224050.96</v>
      </c>
      <c r="H27" s="550">
        <f>G27/F27*100</f>
        <v>99.999982146921909</v>
      </c>
    </row>
    <row r="28" spans="1:8" ht="30" customHeight="1">
      <c r="A28" s="470">
        <v>2</v>
      </c>
      <c r="B28" s="799"/>
      <c r="C28" s="799"/>
      <c r="D28" s="800"/>
      <c r="E28" s="553" t="s">
        <v>398</v>
      </c>
      <c r="F28" s="454">
        <v>129792</v>
      </c>
      <c r="G28" s="549">
        <v>129792</v>
      </c>
      <c r="H28" s="550">
        <f>G28/F28*100</f>
        <v>100</v>
      </c>
    </row>
    <row r="29" spans="1:8" ht="30.75" customHeight="1">
      <c r="A29" s="470">
        <v>3</v>
      </c>
      <c r="B29" s="799"/>
      <c r="C29" s="799"/>
      <c r="D29" s="800"/>
      <c r="E29" s="553" t="s">
        <v>399</v>
      </c>
      <c r="F29" s="454">
        <v>97189</v>
      </c>
      <c r="G29" s="549">
        <v>97189.08</v>
      </c>
      <c r="H29" s="550">
        <f>G29/F29*100</f>
        <v>100.0000823138421</v>
      </c>
    </row>
    <row r="30" spans="1:8" ht="32.25" customHeight="1">
      <c r="A30" s="470">
        <v>4</v>
      </c>
      <c r="B30" s="799"/>
      <c r="C30" s="799"/>
      <c r="D30" s="800"/>
      <c r="E30" s="553" t="s">
        <v>393</v>
      </c>
      <c r="F30" s="454">
        <v>77723</v>
      </c>
      <c r="G30" s="549">
        <v>77722.399999999994</v>
      </c>
      <c r="H30" s="550">
        <f>G30/F30*100</f>
        <v>99.999228027739534</v>
      </c>
    </row>
    <row r="31" spans="1:8">
      <c r="A31" s="793" t="s">
        <v>201</v>
      </c>
      <c r="B31" s="794"/>
      <c r="C31" s="794"/>
      <c r="D31" s="794"/>
      <c r="E31" s="795"/>
      <c r="F31" s="468">
        <f>SUM(F27:F30)</f>
        <v>528755</v>
      </c>
      <c r="G31" s="186">
        <f>SUM(G27:G30)</f>
        <v>528754.43999999994</v>
      </c>
      <c r="H31" s="471">
        <f>G31/F31*100</f>
        <v>99.999894090836008</v>
      </c>
    </row>
    <row r="32" spans="1:8">
      <c r="A32" s="365"/>
      <c r="B32" s="365"/>
      <c r="C32" s="365"/>
      <c r="D32" s="365"/>
      <c r="E32" s="365"/>
      <c r="F32" s="457"/>
      <c r="G32" s="365"/>
      <c r="H32" s="365"/>
    </row>
  </sheetData>
  <mergeCells count="15">
    <mergeCell ref="A23:H23"/>
    <mergeCell ref="A31:E31"/>
    <mergeCell ref="B27:B30"/>
    <mergeCell ref="C27:C30"/>
    <mergeCell ref="D27:D30"/>
    <mergeCell ref="G1:H1"/>
    <mergeCell ref="G15:H15"/>
    <mergeCell ref="A20:H20"/>
    <mergeCell ref="A21:H21"/>
    <mergeCell ref="A22:H22"/>
    <mergeCell ref="A3:H3"/>
    <mergeCell ref="A4:H4"/>
    <mergeCell ref="A5:H5"/>
    <mergeCell ref="A6:H6"/>
    <mergeCell ref="A11:E11"/>
  </mergeCells>
  <pageMargins left="0.7" right="0.7" top="0.75" bottom="0.75" header="0.3" footer="0.3"/>
  <pageSetup paperSize="9" orientation="portrait" r:id="rId1"/>
  <headerFooter>
    <oddFooter>&amp;C&amp;"Times New (W1),Normalny"Załączniki Nr 10 i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2:H36"/>
  <sheetViews>
    <sheetView view="pageLayout" topLeftCell="A13" workbookViewId="0">
      <selection activeCell="E21" sqref="E21"/>
    </sheetView>
  </sheetViews>
  <sheetFormatPr defaultRowHeight="12.75"/>
  <cols>
    <col min="1" max="1" width="5" customWidth="1"/>
    <col min="2" max="2" width="6.42578125" customWidth="1"/>
    <col min="4" max="4" width="21.7109375" customWidth="1"/>
    <col min="5" max="5" width="14" customWidth="1"/>
    <col min="6" max="6" width="11" customWidth="1"/>
    <col min="7" max="7" width="13" customWidth="1"/>
    <col min="8" max="8" width="6.85546875" customWidth="1"/>
  </cols>
  <sheetData>
    <row r="2" spans="1:8">
      <c r="A2" s="365"/>
      <c r="B2" s="365"/>
      <c r="C2" s="365"/>
      <c r="D2" s="365"/>
      <c r="E2" s="365"/>
      <c r="F2" s="365"/>
      <c r="G2" s="653" t="s">
        <v>208</v>
      </c>
      <c r="H2" s="365"/>
    </row>
    <row r="3" spans="1:8">
      <c r="A3" s="365"/>
      <c r="B3" s="365"/>
      <c r="C3" s="365"/>
      <c r="D3" s="365"/>
      <c r="E3" s="365"/>
      <c r="F3" s="365"/>
      <c r="G3" s="365"/>
      <c r="H3" s="365"/>
    </row>
    <row r="4" spans="1:8" ht="15.75">
      <c r="A4" s="760" t="s">
        <v>402</v>
      </c>
      <c r="B4" s="760"/>
      <c r="C4" s="760"/>
      <c r="D4" s="760"/>
      <c r="E4" s="760"/>
      <c r="F4" s="760"/>
      <c r="G4" s="760"/>
      <c r="H4" s="760"/>
    </row>
    <row r="5" spans="1:8" ht="15.75">
      <c r="A5" s="760" t="s">
        <v>403</v>
      </c>
      <c r="B5" s="760"/>
      <c r="C5" s="760"/>
      <c r="D5" s="760"/>
      <c r="E5" s="760"/>
      <c r="F5" s="760"/>
      <c r="G5" s="760"/>
      <c r="H5" s="760"/>
    </row>
    <row r="6" spans="1:8" ht="15.75">
      <c r="A6" s="760" t="s">
        <v>404</v>
      </c>
      <c r="B6" s="760"/>
      <c r="C6" s="760"/>
      <c r="D6" s="760"/>
      <c r="E6" s="760"/>
      <c r="F6" s="760"/>
      <c r="G6" s="760"/>
      <c r="H6" s="760"/>
    </row>
    <row r="7" spans="1:8" ht="15.75">
      <c r="A7" s="760" t="s">
        <v>320</v>
      </c>
      <c r="B7" s="760"/>
      <c r="C7" s="760"/>
      <c r="D7" s="760"/>
      <c r="E7" s="760"/>
      <c r="F7" s="760"/>
      <c r="G7" s="760"/>
      <c r="H7" s="760"/>
    </row>
    <row r="8" spans="1:8" ht="15.75">
      <c r="A8" s="448"/>
      <c r="B8" s="448"/>
      <c r="C8" s="448"/>
      <c r="D8" s="448"/>
      <c r="E8" s="448"/>
      <c r="F8" s="466"/>
      <c r="G8" s="358" t="s">
        <v>206</v>
      </c>
      <c r="H8" s="365"/>
    </row>
    <row r="9" spans="1:8" ht="38.25">
      <c r="A9" s="450" t="s">
        <v>365</v>
      </c>
      <c r="B9" s="450" t="s">
        <v>0</v>
      </c>
      <c r="C9" s="450" t="s">
        <v>13</v>
      </c>
      <c r="D9" s="450" t="s">
        <v>379</v>
      </c>
      <c r="E9" s="451" t="s">
        <v>392</v>
      </c>
      <c r="F9" s="451" t="s">
        <v>202</v>
      </c>
      <c r="G9" s="450" t="s">
        <v>144</v>
      </c>
      <c r="H9" s="450" t="s">
        <v>155</v>
      </c>
    </row>
    <row r="10" spans="1:8">
      <c r="A10" s="452">
        <v>1</v>
      </c>
      <c r="B10" s="452">
        <v>2</v>
      </c>
      <c r="C10" s="452">
        <v>3</v>
      </c>
      <c r="D10" s="452">
        <v>4</v>
      </c>
      <c r="E10" s="452">
        <v>5</v>
      </c>
      <c r="F10" s="452">
        <v>6</v>
      </c>
      <c r="G10" s="467">
        <v>7</v>
      </c>
      <c r="H10" s="467">
        <v>8</v>
      </c>
    </row>
    <row r="11" spans="1:8" ht="102">
      <c r="A11" s="474">
        <v>1</v>
      </c>
      <c r="B11" s="443">
        <v>750</v>
      </c>
      <c r="C11" s="443">
        <v>75095</v>
      </c>
      <c r="D11" s="473" t="s">
        <v>406</v>
      </c>
      <c r="E11" s="475" t="s">
        <v>405</v>
      </c>
      <c r="F11" s="454">
        <v>1356</v>
      </c>
      <c r="G11" s="549">
        <v>1356</v>
      </c>
      <c r="H11" s="550">
        <f>G11/F11*100</f>
        <v>100</v>
      </c>
    </row>
    <row r="12" spans="1:8">
      <c r="A12" s="793" t="s">
        <v>201</v>
      </c>
      <c r="B12" s="794"/>
      <c r="C12" s="794"/>
      <c r="D12" s="794"/>
      <c r="E12" s="795"/>
      <c r="F12" s="468">
        <f>SUM(F11:F11)</f>
        <v>1356</v>
      </c>
      <c r="G12" s="186">
        <f>SUM(G11:G11)</f>
        <v>1356</v>
      </c>
      <c r="H12" s="471">
        <f>G12/F12*100</f>
        <v>100</v>
      </c>
    </row>
    <row r="27" spans="1:8">
      <c r="A27" s="365"/>
      <c r="B27" s="365"/>
      <c r="C27" s="365"/>
      <c r="D27" s="365"/>
      <c r="E27" s="365"/>
      <c r="F27" s="365"/>
      <c r="G27" s="653" t="s">
        <v>462</v>
      </c>
      <c r="H27" s="365"/>
    </row>
    <row r="28" spans="1:8">
      <c r="A28" s="365"/>
      <c r="B28" s="365"/>
      <c r="C28" s="365"/>
      <c r="D28" s="365"/>
      <c r="E28" s="365"/>
      <c r="F28" s="365"/>
      <c r="G28" s="365"/>
      <c r="H28" s="365"/>
    </row>
    <row r="29" spans="1:8" ht="15.75">
      <c r="A29" s="760" t="s">
        <v>407</v>
      </c>
      <c r="B29" s="760"/>
      <c r="C29" s="760"/>
      <c r="D29" s="760"/>
      <c r="E29" s="760"/>
      <c r="F29" s="760"/>
      <c r="G29" s="760"/>
      <c r="H29" s="760"/>
    </row>
    <row r="30" spans="1:8" ht="15.75">
      <c r="A30" s="760" t="s">
        <v>408</v>
      </c>
      <c r="B30" s="760"/>
      <c r="C30" s="760"/>
      <c r="D30" s="760"/>
      <c r="E30" s="760"/>
      <c r="F30" s="760"/>
      <c r="G30" s="760"/>
      <c r="H30" s="760"/>
    </row>
    <row r="31" spans="1:8" ht="15.75">
      <c r="A31" s="760" t="s">
        <v>320</v>
      </c>
      <c r="B31" s="760"/>
      <c r="C31" s="760"/>
      <c r="D31" s="760"/>
      <c r="E31" s="760"/>
      <c r="F31" s="760"/>
      <c r="G31" s="760"/>
      <c r="H31" s="760"/>
    </row>
    <row r="32" spans="1:8" ht="15.75">
      <c r="A32" s="448"/>
      <c r="B32" s="448"/>
      <c r="C32" s="448"/>
      <c r="D32" s="448"/>
      <c r="E32" s="448"/>
      <c r="F32" s="466"/>
      <c r="G32" s="358" t="s">
        <v>206</v>
      </c>
      <c r="H32" s="365"/>
    </row>
    <row r="33" spans="1:8" ht="25.5">
      <c r="A33" s="450" t="s">
        <v>365</v>
      </c>
      <c r="B33" s="450" t="s">
        <v>0</v>
      </c>
      <c r="C33" s="450" t="s">
        <v>13</v>
      </c>
      <c r="D33" s="450" t="s">
        <v>379</v>
      </c>
      <c r="E33" s="451" t="s">
        <v>411</v>
      </c>
      <c r="F33" s="451" t="s">
        <v>202</v>
      </c>
      <c r="G33" s="450" t="s">
        <v>144</v>
      </c>
      <c r="H33" s="450" t="s">
        <v>155</v>
      </c>
    </row>
    <row r="34" spans="1:8">
      <c r="A34" s="452">
        <v>1</v>
      </c>
      <c r="B34" s="452">
        <v>2</v>
      </c>
      <c r="C34" s="452">
        <v>3</v>
      </c>
      <c r="D34" s="452">
        <v>4</v>
      </c>
      <c r="E34" s="452">
        <v>5</v>
      </c>
      <c r="F34" s="452">
        <v>6</v>
      </c>
      <c r="G34" s="467">
        <v>7</v>
      </c>
      <c r="H34" s="467">
        <v>8</v>
      </c>
    </row>
    <row r="35" spans="1:8" ht="51">
      <c r="A35" s="474">
        <v>1</v>
      </c>
      <c r="B35" s="443">
        <v>754</v>
      </c>
      <c r="C35" s="443">
        <v>75405</v>
      </c>
      <c r="D35" s="473" t="s">
        <v>409</v>
      </c>
      <c r="E35" s="475" t="s">
        <v>410</v>
      </c>
      <c r="F35" s="454">
        <v>20000</v>
      </c>
      <c r="G35" s="549">
        <v>20000</v>
      </c>
      <c r="H35" s="550">
        <f>G35/F35*100</f>
        <v>100</v>
      </c>
    </row>
    <row r="36" spans="1:8">
      <c r="A36" s="793" t="s">
        <v>201</v>
      </c>
      <c r="B36" s="794"/>
      <c r="C36" s="794"/>
      <c r="D36" s="794"/>
      <c r="E36" s="795"/>
      <c r="F36" s="468">
        <f>SUM(F35:F35)</f>
        <v>20000</v>
      </c>
      <c r="G36" s="186">
        <f>SUM(G35:G35)</f>
        <v>20000</v>
      </c>
      <c r="H36" s="471">
        <f>G36/F36*100</f>
        <v>100</v>
      </c>
    </row>
  </sheetData>
  <mergeCells count="9">
    <mergeCell ref="A29:H29"/>
    <mergeCell ref="A30:H30"/>
    <mergeCell ref="A31:H31"/>
    <mergeCell ref="A36:E36"/>
    <mergeCell ref="A4:H4"/>
    <mergeCell ref="A5:H5"/>
    <mergeCell ref="A6:H6"/>
    <mergeCell ref="A7:H7"/>
    <mergeCell ref="A12:E12"/>
  </mergeCells>
  <pageMargins left="0.7" right="0.7" top="0.75" bottom="0.75" header="0.3" footer="0.3"/>
  <pageSetup paperSize="9" orientation="portrait" r:id="rId1"/>
  <headerFooter>
    <oddFooter>&amp;C&amp;"Times New (W1),Normalny"Załączniki Nr 12 i 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L78"/>
  <sheetViews>
    <sheetView view="pageLayout" topLeftCell="A55" workbookViewId="0">
      <selection activeCell="A6" sqref="A6"/>
    </sheetView>
  </sheetViews>
  <sheetFormatPr defaultRowHeight="12.75"/>
  <cols>
    <col min="1" max="1" width="4.28515625" customWidth="1"/>
    <col min="2" max="2" width="5.7109375" customWidth="1"/>
    <col min="3" max="3" width="19.85546875" customWidth="1"/>
    <col min="4" max="4" width="11.42578125" customWidth="1"/>
    <col min="5" max="5" width="13.5703125" customWidth="1"/>
    <col min="6" max="6" width="14" customWidth="1"/>
    <col min="7" max="7" width="13" customWidth="1"/>
    <col min="8" max="8" width="12.85546875" customWidth="1"/>
    <col min="9" max="9" width="13" customWidth="1"/>
    <col min="10" max="10" width="11.5703125" customWidth="1"/>
    <col min="11" max="11" width="11.42578125" customWidth="1"/>
    <col min="12" max="12" width="7.28515625" customWidth="1"/>
  </cols>
  <sheetData>
    <row r="1" spans="1:12">
      <c r="A1" s="47"/>
      <c r="B1" s="47"/>
      <c r="C1" s="47"/>
      <c r="D1" s="47"/>
      <c r="E1" s="47"/>
      <c r="F1" s="47"/>
      <c r="G1" s="47"/>
      <c r="H1" s="47"/>
      <c r="I1" s="47"/>
      <c r="J1" s="47"/>
      <c r="K1" s="47" t="s">
        <v>463</v>
      </c>
      <c r="L1" s="47"/>
    </row>
    <row r="2" spans="1:12">
      <c r="A2" s="706" t="s">
        <v>12</v>
      </c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</row>
    <row r="3" spans="1:12">
      <c r="A3" s="706" t="s">
        <v>4</v>
      </c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</row>
    <row r="4" spans="1:12">
      <c r="A4" s="807" t="s">
        <v>6</v>
      </c>
      <c r="B4" s="807"/>
      <c r="C4" s="807"/>
      <c r="D4" s="807"/>
      <c r="E4" s="807"/>
      <c r="F4" s="807"/>
      <c r="G4" s="807"/>
      <c r="H4" s="807"/>
      <c r="I4" s="807"/>
      <c r="J4" s="807"/>
      <c r="K4" s="807"/>
      <c r="L4" s="807"/>
    </row>
    <row r="5" spans="1:12">
      <c r="A5" s="706" t="s">
        <v>320</v>
      </c>
      <c r="B5" s="706"/>
      <c r="C5" s="706"/>
      <c r="D5" s="706"/>
      <c r="E5" s="706"/>
      <c r="F5" s="706"/>
      <c r="G5" s="706"/>
      <c r="H5" s="706"/>
      <c r="I5" s="706"/>
      <c r="J5" s="706"/>
      <c r="K5" s="706"/>
      <c r="L5" s="706"/>
    </row>
    <row r="6" spans="1:12" ht="12.75" customHeight="1">
      <c r="A6" s="47" t="s">
        <v>7</v>
      </c>
      <c r="B6" s="47"/>
      <c r="C6" s="47"/>
      <c r="D6" s="47"/>
      <c r="E6" s="47"/>
      <c r="F6" s="47"/>
      <c r="G6" s="47"/>
      <c r="H6" s="47"/>
      <c r="I6" s="47"/>
      <c r="J6" s="47"/>
      <c r="K6" s="108" t="s">
        <v>166</v>
      </c>
      <c r="L6" s="107"/>
    </row>
    <row r="7" spans="1:12">
      <c r="A7" s="707" t="s">
        <v>0</v>
      </c>
      <c r="B7" s="707" t="s">
        <v>13</v>
      </c>
      <c r="C7" s="707" t="s">
        <v>1</v>
      </c>
      <c r="D7" s="707" t="s">
        <v>192</v>
      </c>
      <c r="E7" s="115"/>
      <c r="F7" s="808" t="s">
        <v>174</v>
      </c>
      <c r="G7" s="809"/>
      <c r="H7" s="809"/>
      <c r="I7" s="809"/>
      <c r="J7" s="809"/>
      <c r="K7" s="809"/>
      <c r="L7" s="810" t="s">
        <v>141</v>
      </c>
    </row>
    <row r="8" spans="1:12">
      <c r="A8" s="708"/>
      <c r="B8" s="708"/>
      <c r="C8" s="708"/>
      <c r="D8" s="708"/>
      <c r="E8" s="116" t="s">
        <v>144</v>
      </c>
      <c r="F8" s="702" t="s">
        <v>14</v>
      </c>
      <c r="G8" s="117" t="s">
        <v>15</v>
      </c>
      <c r="H8" s="117"/>
      <c r="I8" s="117"/>
      <c r="J8" s="118"/>
      <c r="K8" s="811" t="s">
        <v>175</v>
      </c>
      <c r="L8" s="810"/>
    </row>
    <row r="9" spans="1:12" ht="33" customHeight="1">
      <c r="A9" s="709"/>
      <c r="B9" s="709"/>
      <c r="C9" s="709"/>
      <c r="D9" s="709"/>
      <c r="E9" s="119"/>
      <c r="F9" s="704"/>
      <c r="G9" s="439" t="s">
        <v>362</v>
      </c>
      <c r="H9" s="439" t="s">
        <v>363</v>
      </c>
      <c r="I9" s="439" t="s">
        <v>364</v>
      </c>
      <c r="J9" s="440" t="s">
        <v>16</v>
      </c>
      <c r="K9" s="812"/>
      <c r="L9" s="810"/>
    </row>
    <row r="10" spans="1:12">
      <c r="A10" s="75">
        <v>1</v>
      </c>
      <c r="B10" s="75">
        <v>2</v>
      </c>
      <c r="C10" s="75">
        <v>3</v>
      </c>
      <c r="D10" s="75">
        <v>4</v>
      </c>
      <c r="E10" s="75">
        <v>5</v>
      </c>
      <c r="F10" s="75">
        <v>6</v>
      </c>
      <c r="G10" s="75">
        <v>7</v>
      </c>
      <c r="H10" s="75">
        <v>8</v>
      </c>
      <c r="I10" s="75">
        <v>9</v>
      </c>
      <c r="J10" s="75">
        <v>10</v>
      </c>
      <c r="K10" s="75">
        <v>11</v>
      </c>
      <c r="L10" s="75">
        <v>12</v>
      </c>
    </row>
    <row r="11" spans="1:12">
      <c r="A11" s="410" t="s">
        <v>28</v>
      </c>
      <c r="B11" s="438"/>
      <c r="C11" s="412" t="s">
        <v>42</v>
      </c>
      <c r="D11" s="413">
        <f>D12</f>
        <v>100</v>
      </c>
      <c r="E11" s="414">
        <f>E12</f>
        <v>50.78</v>
      </c>
      <c r="F11" s="415">
        <f>F12</f>
        <v>50.78</v>
      </c>
      <c r="G11" s="524">
        <v>0</v>
      </c>
      <c r="H11" s="524">
        <v>0</v>
      </c>
      <c r="I11" s="524">
        <v>0</v>
      </c>
      <c r="J11" s="524">
        <v>0</v>
      </c>
      <c r="K11" s="524">
        <v>0</v>
      </c>
      <c r="L11" s="502">
        <f>E11/D11*100</f>
        <v>50.78</v>
      </c>
    </row>
    <row r="12" spans="1:12">
      <c r="A12" s="426"/>
      <c r="B12" s="416" t="s">
        <v>137</v>
      </c>
      <c r="C12" s="420" t="s">
        <v>138</v>
      </c>
      <c r="D12" s="418">
        <f>zał6!D15</f>
        <v>100</v>
      </c>
      <c r="E12" s="419">
        <v>50.78</v>
      </c>
      <c r="F12" s="419">
        <f>E12</f>
        <v>50.78</v>
      </c>
      <c r="G12" s="524">
        <v>0</v>
      </c>
      <c r="H12" s="524">
        <v>0</v>
      </c>
      <c r="I12" s="524">
        <v>0</v>
      </c>
      <c r="J12" s="524">
        <v>0</v>
      </c>
      <c r="K12" s="524">
        <v>0</v>
      </c>
      <c r="L12" s="502">
        <f t="shared" ref="L12:L70" si="0">E12/D12*100</f>
        <v>50.78</v>
      </c>
    </row>
    <row r="13" spans="1:12">
      <c r="A13" s="504" t="s">
        <v>29</v>
      </c>
      <c r="B13" s="410"/>
      <c r="C13" s="421" t="s">
        <v>43</v>
      </c>
      <c r="D13" s="422">
        <f>D14+D15</f>
        <v>269000</v>
      </c>
      <c r="E13" s="423">
        <f>E14+E15</f>
        <v>118946.35</v>
      </c>
      <c r="F13" s="423">
        <f>F14+F15</f>
        <v>118946.35</v>
      </c>
      <c r="G13" s="524">
        <v>0</v>
      </c>
      <c r="H13" s="524">
        <v>0</v>
      </c>
      <c r="I13" s="524">
        <v>0</v>
      </c>
      <c r="J13" s="524">
        <v>0</v>
      </c>
      <c r="K13" s="524">
        <v>0</v>
      </c>
      <c r="L13" s="502">
        <f t="shared" si="0"/>
        <v>44.217973977695166</v>
      </c>
    </row>
    <row r="14" spans="1:12">
      <c r="A14" s="719"/>
      <c r="B14" s="506" t="s">
        <v>81</v>
      </c>
      <c r="C14" s="424" t="s">
        <v>82</v>
      </c>
      <c r="D14" s="418">
        <f>zał6!D17</f>
        <v>247000</v>
      </c>
      <c r="E14" s="419">
        <v>118946.35</v>
      </c>
      <c r="F14" s="419">
        <f>E14</f>
        <v>118946.35</v>
      </c>
      <c r="G14" s="524">
        <v>0</v>
      </c>
      <c r="H14" s="524">
        <v>0</v>
      </c>
      <c r="I14" s="524">
        <v>0</v>
      </c>
      <c r="J14" s="524">
        <v>0</v>
      </c>
      <c r="K14" s="524">
        <v>0</v>
      </c>
      <c r="L14" s="502">
        <f t="shared" si="0"/>
        <v>48.156417004048585</v>
      </c>
    </row>
    <row r="15" spans="1:12">
      <c r="A15" s="721"/>
      <c r="B15" s="506" t="s">
        <v>118</v>
      </c>
      <c r="C15" s="417" t="s">
        <v>119</v>
      </c>
      <c r="D15" s="418">
        <f>zał6!D18</f>
        <v>22000</v>
      </c>
      <c r="E15" s="419">
        <v>0</v>
      </c>
      <c r="F15" s="419">
        <v>0</v>
      </c>
      <c r="G15" s="524">
        <v>0</v>
      </c>
      <c r="H15" s="524">
        <v>0</v>
      </c>
      <c r="I15" s="524">
        <v>0</v>
      </c>
      <c r="J15" s="524">
        <v>0</v>
      </c>
      <c r="K15" s="524">
        <v>0</v>
      </c>
      <c r="L15" s="502">
        <f t="shared" si="0"/>
        <v>0</v>
      </c>
    </row>
    <row r="16" spans="1:12" ht="12.75" customHeight="1">
      <c r="A16" s="507">
        <v>150</v>
      </c>
      <c r="B16" s="508"/>
      <c r="C16" s="425" t="s">
        <v>180</v>
      </c>
      <c r="D16" s="422">
        <f>D17</f>
        <v>91012</v>
      </c>
      <c r="E16" s="423">
        <f>E17</f>
        <v>36164.21</v>
      </c>
      <c r="F16" s="423">
        <f t="shared" ref="F16:K16" si="1">F17</f>
        <v>36164.21</v>
      </c>
      <c r="G16" s="423">
        <f t="shared" si="1"/>
        <v>21450</v>
      </c>
      <c r="H16" s="423">
        <f t="shared" si="1"/>
        <v>3764.52</v>
      </c>
      <c r="I16" s="423">
        <f t="shared" si="1"/>
        <v>0</v>
      </c>
      <c r="J16" s="423">
        <f t="shared" si="1"/>
        <v>0</v>
      </c>
      <c r="K16" s="423">
        <f t="shared" si="1"/>
        <v>0</v>
      </c>
      <c r="L16" s="502">
        <f t="shared" si="0"/>
        <v>39.735650243923878</v>
      </c>
    </row>
    <row r="17" spans="1:12">
      <c r="A17" s="426"/>
      <c r="B17" s="506">
        <v>15011</v>
      </c>
      <c r="C17" s="417" t="s">
        <v>181</v>
      </c>
      <c r="D17" s="418">
        <f>zał6!D20</f>
        <v>91012</v>
      </c>
      <c r="E17" s="419">
        <v>36164.21</v>
      </c>
      <c r="F17" s="419">
        <f>E17</f>
        <v>36164.21</v>
      </c>
      <c r="G17" s="419">
        <v>21450</v>
      </c>
      <c r="H17" s="419">
        <v>3764.52</v>
      </c>
      <c r="I17" s="524">
        <v>0</v>
      </c>
      <c r="J17" s="524">
        <v>0</v>
      </c>
      <c r="K17" s="524">
        <v>0</v>
      </c>
      <c r="L17" s="502">
        <f t="shared" si="0"/>
        <v>39.735650243923878</v>
      </c>
    </row>
    <row r="18" spans="1:12">
      <c r="A18" s="507">
        <v>600</v>
      </c>
      <c r="B18" s="410"/>
      <c r="C18" s="425" t="s">
        <v>84</v>
      </c>
      <c r="D18" s="422">
        <f>D19</f>
        <v>1919966</v>
      </c>
      <c r="E18" s="423">
        <f>E19</f>
        <v>723689.33</v>
      </c>
      <c r="F18" s="423">
        <f t="shared" ref="F18:H18" si="2">F19</f>
        <v>723689.33</v>
      </c>
      <c r="G18" s="423">
        <f t="shared" si="2"/>
        <v>273836.11</v>
      </c>
      <c r="H18" s="423">
        <f t="shared" si="2"/>
        <v>40659.89</v>
      </c>
      <c r="I18" s="524">
        <v>0</v>
      </c>
      <c r="J18" s="524">
        <v>0</v>
      </c>
      <c r="K18" s="524">
        <v>0</v>
      </c>
      <c r="L18" s="502">
        <f t="shared" si="0"/>
        <v>37.692820081188941</v>
      </c>
    </row>
    <row r="19" spans="1:12">
      <c r="A19" s="441"/>
      <c r="B19" s="416">
        <v>60014</v>
      </c>
      <c r="C19" s="417" t="s">
        <v>54</v>
      </c>
      <c r="D19" s="418">
        <f>zał6!D22</f>
        <v>1919966</v>
      </c>
      <c r="E19" s="419">
        <v>723689.33</v>
      </c>
      <c r="F19" s="419">
        <f>E19</f>
        <v>723689.33</v>
      </c>
      <c r="G19" s="419">
        <v>273836.11</v>
      </c>
      <c r="H19" s="419">
        <v>40659.89</v>
      </c>
      <c r="I19" s="524">
        <v>0</v>
      </c>
      <c r="J19" s="524">
        <v>0</v>
      </c>
      <c r="K19" s="524">
        <v>0</v>
      </c>
      <c r="L19" s="502">
        <f t="shared" si="0"/>
        <v>37.692820081188941</v>
      </c>
    </row>
    <row r="20" spans="1:12">
      <c r="A20" s="438">
        <v>700</v>
      </c>
      <c r="B20" s="410"/>
      <c r="C20" s="425" t="s">
        <v>44</v>
      </c>
      <c r="D20" s="422">
        <f>D21</f>
        <v>364100</v>
      </c>
      <c r="E20" s="423">
        <f>E21</f>
        <v>305351.07</v>
      </c>
      <c r="F20" s="423">
        <f>F21</f>
        <v>305351.07</v>
      </c>
      <c r="G20" s="524">
        <v>0</v>
      </c>
      <c r="H20" s="524">
        <v>0</v>
      </c>
      <c r="I20" s="524">
        <v>0</v>
      </c>
      <c r="J20" s="524">
        <v>0</v>
      </c>
      <c r="K20" s="524">
        <v>0</v>
      </c>
      <c r="L20" s="502">
        <f t="shared" si="0"/>
        <v>83.864616863499037</v>
      </c>
    </row>
    <row r="21" spans="1:12">
      <c r="A21" s="441" t="s">
        <v>27</v>
      </c>
      <c r="B21" s="441">
        <v>70005</v>
      </c>
      <c r="C21" s="417" t="s">
        <v>85</v>
      </c>
      <c r="D21" s="418">
        <v>364100</v>
      </c>
      <c r="E21" s="427">
        <v>305351.07</v>
      </c>
      <c r="F21" s="419">
        <f>E21</f>
        <v>305351.07</v>
      </c>
      <c r="G21" s="524">
        <v>0</v>
      </c>
      <c r="H21" s="524">
        <v>0</v>
      </c>
      <c r="I21" s="524">
        <v>0</v>
      </c>
      <c r="J21" s="524">
        <v>0</v>
      </c>
      <c r="K21" s="524">
        <v>0</v>
      </c>
      <c r="L21" s="502">
        <f t="shared" si="0"/>
        <v>83.864616863499037</v>
      </c>
    </row>
    <row r="22" spans="1:12">
      <c r="A22" s="507">
        <v>750</v>
      </c>
      <c r="B22" s="438"/>
      <c r="C22" s="421" t="s">
        <v>46</v>
      </c>
      <c r="D22" s="422">
        <f>D23+D24+D26+D25</f>
        <v>5098653</v>
      </c>
      <c r="E22" s="423">
        <f>SUM(E23:E26)</f>
        <v>2334499.1599999997</v>
      </c>
      <c r="F22" s="423">
        <f t="shared" ref="F22" si="3">SUM(F23:F26)</f>
        <v>2325574.1599999997</v>
      </c>
      <c r="G22" s="423">
        <f t="shared" ref="G22" si="4">SUM(G23:G26)</f>
        <v>1256109.8500000001</v>
      </c>
      <c r="H22" s="423">
        <f t="shared" ref="H22" si="5">SUM(H23:H26)</f>
        <v>203567.94</v>
      </c>
      <c r="I22" s="423">
        <f t="shared" ref="I22" si="6">SUM(I23:I26)</f>
        <v>1356</v>
      </c>
      <c r="J22" s="423">
        <f t="shared" ref="J22" si="7">SUM(J23:J26)</f>
        <v>0</v>
      </c>
      <c r="K22" s="423">
        <f t="shared" ref="K22" si="8">SUM(K23:K26)</f>
        <v>8925</v>
      </c>
      <c r="L22" s="502">
        <f t="shared" si="0"/>
        <v>45.786586378794553</v>
      </c>
    </row>
    <row r="23" spans="1:12">
      <c r="A23" s="720"/>
      <c r="B23" s="509">
        <v>75019</v>
      </c>
      <c r="C23" s="424" t="s">
        <v>122</v>
      </c>
      <c r="D23" s="418">
        <v>212900</v>
      </c>
      <c r="E23" s="419">
        <v>108632.61</v>
      </c>
      <c r="F23" s="419">
        <f>E23</f>
        <v>108632.61</v>
      </c>
      <c r="G23" s="524">
        <v>0</v>
      </c>
      <c r="H23" s="524">
        <v>0</v>
      </c>
      <c r="I23" s="524">
        <v>0</v>
      </c>
      <c r="J23" s="524">
        <v>0</v>
      </c>
      <c r="K23" s="524">
        <v>0</v>
      </c>
      <c r="L23" s="502">
        <f t="shared" si="0"/>
        <v>51.025180836073268</v>
      </c>
    </row>
    <row r="24" spans="1:12">
      <c r="A24" s="720"/>
      <c r="B24" s="509">
        <v>75020</v>
      </c>
      <c r="C24" s="424" t="s">
        <v>92</v>
      </c>
      <c r="D24" s="418">
        <v>4679397</v>
      </c>
      <c r="E24" s="419">
        <v>2075032.21</v>
      </c>
      <c r="F24" s="419">
        <f>E24-K24</f>
        <v>2070777.21</v>
      </c>
      <c r="G24" s="427">
        <v>1256109.8500000001</v>
      </c>
      <c r="H24" s="419">
        <v>203567.94</v>
      </c>
      <c r="I24" s="524">
        <v>0</v>
      </c>
      <c r="J24" s="524">
        <v>0</v>
      </c>
      <c r="K24" s="503">
        <v>4255</v>
      </c>
      <c r="L24" s="502">
        <f t="shared" si="0"/>
        <v>44.344008640429522</v>
      </c>
    </row>
    <row r="25" spans="1:12" ht="11.25" customHeight="1">
      <c r="A25" s="720"/>
      <c r="B25" s="527">
        <v>75075</v>
      </c>
      <c r="C25" s="424" t="s">
        <v>414</v>
      </c>
      <c r="D25" s="528">
        <v>85000</v>
      </c>
      <c r="E25" s="529">
        <v>53674.9</v>
      </c>
      <c r="F25" s="529">
        <f>E25-K25</f>
        <v>49004.9</v>
      </c>
      <c r="G25" s="524">
        <v>0</v>
      </c>
      <c r="H25" s="524">
        <v>0</v>
      </c>
      <c r="I25" s="524">
        <v>0</v>
      </c>
      <c r="J25" s="524">
        <v>0</v>
      </c>
      <c r="K25" s="531">
        <v>4670</v>
      </c>
      <c r="L25" s="519">
        <f t="shared" si="0"/>
        <v>63.146941176470591</v>
      </c>
    </row>
    <row r="26" spans="1:12">
      <c r="A26" s="721"/>
      <c r="B26" s="509">
        <v>75095</v>
      </c>
      <c r="C26" s="424" t="s">
        <v>89</v>
      </c>
      <c r="D26" s="418">
        <v>121356</v>
      </c>
      <c r="E26" s="419">
        <v>97159.44</v>
      </c>
      <c r="F26" s="419">
        <f>E26</f>
        <v>97159.44</v>
      </c>
      <c r="G26" s="524">
        <v>0</v>
      </c>
      <c r="H26" s="524">
        <v>0</v>
      </c>
      <c r="I26" s="419">
        <v>1356</v>
      </c>
      <c r="J26" s="524">
        <v>0</v>
      </c>
      <c r="K26" s="524">
        <v>0</v>
      </c>
      <c r="L26" s="502">
        <f t="shared" si="0"/>
        <v>80.061504993572626</v>
      </c>
    </row>
    <row r="27" spans="1:12" ht="21">
      <c r="A27" s="438">
        <v>754</v>
      </c>
      <c r="B27" s="438"/>
      <c r="C27" s="421" t="s">
        <v>123</v>
      </c>
      <c r="D27" s="510">
        <f>D28+D29+D30</f>
        <v>179600</v>
      </c>
      <c r="E27" s="546">
        <f>SUM(E28:E30)</f>
        <v>123710.32</v>
      </c>
      <c r="F27" s="546">
        <f t="shared" ref="F27:K27" si="9">SUM(F28:F30)</f>
        <v>63710.32</v>
      </c>
      <c r="G27" s="524">
        <v>0</v>
      </c>
      <c r="H27" s="524">
        <v>0</v>
      </c>
      <c r="I27" s="546">
        <f t="shared" si="9"/>
        <v>55000</v>
      </c>
      <c r="J27" s="546">
        <f t="shared" si="9"/>
        <v>0</v>
      </c>
      <c r="K27" s="546">
        <f t="shared" si="9"/>
        <v>60000</v>
      </c>
      <c r="L27" s="548">
        <f t="shared" si="0"/>
        <v>68.881024498886418</v>
      </c>
    </row>
    <row r="28" spans="1:12">
      <c r="A28" s="719"/>
      <c r="B28" s="511">
        <v>75405</v>
      </c>
      <c r="C28" s="428" t="s">
        <v>321</v>
      </c>
      <c r="D28" s="429">
        <v>80000</v>
      </c>
      <c r="E28" s="419">
        <v>80000</v>
      </c>
      <c r="F28" s="419">
        <v>20000</v>
      </c>
      <c r="G28" s="524">
        <v>0</v>
      </c>
      <c r="H28" s="524">
        <v>0</v>
      </c>
      <c r="I28" s="419">
        <v>20000</v>
      </c>
      <c r="J28" s="419"/>
      <c r="K28" s="503">
        <v>60000</v>
      </c>
      <c r="L28" s="502">
        <f t="shared" si="0"/>
        <v>100</v>
      </c>
    </row>
    <row r="29" spans="1:12">
      <c r="A29" s="720"/>
      <c r="B29" s="509">
        <v>75412</v>
      </c>
      <c r="C29" s="424" t="s">
        <v>322</v>
      </c>
      <c r="D29" s="418">
        <v>35000</v>
      </c>
      <c r="E29" s="419">
        <v>35000</v>
      </c>
      <c r="F29" s="419">
        <v>35000</v>
      </c>
      <c r="G29" s="524">
        <v>0</v>
      </c>
      <c r="H29" s="524">
        <v>0</v>
      </c>
      <c r="I29" s="419">
        <v>35000</v>
      </c>
      <c r="J29" s="524">
        <v>0</v>
      </c>
      <c r="K29" s="524">
        <v>0</v>
      </c>
      <c r="L29" s="502">
        <f t="shared" si="0"/>
        <v>100</v>
      </c>
    </row>
    <row r="30" spans="1:12">
      <c r="A30" s="721"/>
      <c r="B30" s="509">
        <v>75421</v>
      </c>
      <c r="C30" s="424" t="s">
        <v>310</v>
      </c>
      <c r="D30" s="418">
        <v>64600</v>
      </c>
      <c r="E30" s="419">
        <v>8710.32</v>
      </c>
      <c r="F30" s="419">
        <f>E30</f>
        <v>8710.32</v>
      </c>
      <c r="G30" s="524">
        <v>0</v>
      </c>
      <c r="H30" s="524">
        <v>0</v>
      </c>
      <c r="I30" s="524">
        <v>0</v>
      </c>
      <c r="J30" s="524">
        <v>0</v>
      </c>
      <c r="K30" s="524">
        <v>0</v>
      </c>
      <c r="L30" s="502">
        <f t="shared" si="0"/>
        <v>13.483467492260063</v>
      </c>
    </row>
    <row r="31" spans="1:12" ht="12.75" customHeight="1">
      <c r="A31" s="438">
        <v>757</v>
      </c>
      <c r="B31" s="438"/>
      <c r="C31" s="421" t="s">
        <v>126</v>
      </c>
      <c r="D31" s="422">
        <f>D32</f>
        <v>343158</v>
      </c>
      <c r="E31" s="423">
        <f>E32</f>
        <v>202689.35</v>
      </c>
      <c r="F31" s="423">
        <f>F32</f>
        <v>202689.35</v>
      </c>
      <c r="G31" s="524">
        <v>0</v>
      </c>
      <c r="H31" s="524">
        <v>0</v>
      </c>
      <c r="I31" s="423">
        <f>I32</f>
        <v>0</v>
      </c>
      <c r="J31" s="423">
        <f>J32</f>
        <v>202689.35</v>
      </c>
      <c r="K31" s="524">
        <v>0</v>
      </c>
      <c r="L31" s="502">
        <f t="shared" si="0"/>
        <v>59.065896758927373</v>
      </c>
    </row>
    <row r="32" spans="1:12" ht="22.5" customHeight="1">
      <c r="A32" s="441"/>
      <c r="B32" s="441">
        <v>75702</v>
      </c>
      <c r="C32" s="424" t="s">
        <v>168</v>
      </c>
      <c r="D32" s="418">
        <f>zał6!D44</f>
        <v>343158</v>
      </c>
      <c r="E32" s="419">
        <v>202689.35</v>
      </c>
      <c r="F32" s="419">
        <f>E32</f>
        <v>202689.35</v>
      </c>
      <c r="G32" s="524">
        <v>0</v>
      </c>
      <c r="H32" s="524">
        <v>0</v>
      </c>
      <c r="I32" s="524">
        <v>0</v>
      </c>
      <c r="J32" s="419">
        <f>F32</f>
        <v>202689.35</v>
      </c>
      <c r="K32" s="524">
        <v>0</v>
      </c>
      <c r="L32" s="502">
        <f t="shared" si="0"/>
        <v>59.065896758927373</v>
      </c>
    </row>
    <row r="33" spans="1:12">
      <c r="A33" s="512">
        <v>801</v>
      </c>
      <c r="B33" s="438"/>
      <c r="C33" s="421" t="s">
        <v>69</v>
      </c>
      <c r="D33" s="422">
        <f>SUM(D34:D41)</f>
        <v>11215146</v>
      </c>
      <c r="E33" s="423">
        <f>SUM(E34:E41)</f>
        <v>5931895.8800000008</v>
      </c>
      <c r="F33" s="423">
        <f t="shared" ref="F33:K33" si="10">SUM(F34:F41)</f>
        <v>5924095.8800000008</v>
      </c>
      <c r="G33" s="423">
        <f t="shared" si="10"/>
        <v>3613130.2800000007</v>
      </c>
      <c r="H33" s="423">
        <f t="shared" si="10"/>
        <v>612868.54</v>
      </c>
      <c r="I33" s="423">
        <f t="shared" si="10"/>
        <v>566898</v>
      </c>
      <c r="J33" s="423">
        <f t="shared" si="10"/>
        <v>0</v>
      </c>
      <c r="K33" s="423">
        <f t="shared" si="10"/>
        <v>7800</v>
      </c>
      <c r="L33" s="502">
        <f t="shared" si="0"/>
        <v>52.891829317246518</v>
      </c>
    </row>
    <row r="34" spans="1:12" ht="12" customHeight="1">
      <c r="A34" s="719"/>
      <c r="B34" s="509">
        <v>80102</v>
      </c>
      <c r="C34" s="424" t="s">
        <v>56</v>
      </c>
      <c r="D34" s="418">
        <v>1064837</v>
      </c>
      <c r="E34" s="419">
        <v>562764.46</v>
      </c>
      <c r="F34" s="419">
        <f>E34</f>
        <v>562764.46</v>
      </c>
      <c r="G34" s="427">
        <v>416692.28</v>
      </c>
      <c r="H34" s="419">
        <v>68070.039999999994</v>
      </c>
      <c r="I34" s="524">
        <v>0</v>
      </c>
      <c r="J34" s="524">
        <v>0</v>
      </c>
      <c r="K34" s="524">
        <v>0</v>
      </c>
      <c r="L34" s="502">
        <f t="shared" si="0"/>
        <v>52.849822085445943</v>
      </c>
    </row>
    <row r="35" spans="1:12">
      <c r="A35" s="720"/>
      <c r="B35" s="509">
        <v>80111</v>
      </c>
      <c r="C35" s="424" t="s">
        <v>128</v>
      </c>
      <c r="D35" s="418">
        <v>745617</v>
      </c>
      <c r="E35" s="419">
        <v>420674.71</v>
      </c>
      <c r="F35" s="419">
        <f>E35</f>
        <v>420674.71</v>
      </c>
      <c r="G35" s="427">
        <v>317332.46000000002</v>
      </c>
      <c r="H35" s="419">
        <v>57083.68</v>
      </c>
      <c r="I35" s="524">
        <v>0</v>
      </c>
      <c r="J35" s="524">
        <v>0</v>
      </c>
      <c r="K35" s="524">
        <v>0</v>
      </c>
      <c r="L35" s="502">
        <f t="shared" si="0"/>
        <v>56.419677931163051</v>
      </c>
    </row>
    <row r="36" spans="1:12">
      <c r="A36" s="720"/>
      <c r="B36" s="509">
        <v>80120</v>
      </c>
      <c r="C36" s="424" t="s">
        <v>62</v>
      </c>
      <c r="D36" s="418">
        <v>3886288</v>
      </c>
      <c r="E36" s="419">
        <v>2006073.48</v>
      </c>
      <c r="F36" s="419">
        <f>E36</f>
        <v>2006073.48</v>
      </c>
      <c r="G36" s="419">
        <v>1217250.08</v>
      </c>
      <c r="H36" s="419">
        <v>207215</v>
      </c>
      <c r="I36" s="419">
        <v>179034.7</v>
      </c>
      <c r="J36" s="524">
        <v>0</v>
      </c>
      <c r="K36" s="524">
        <v>0</v>
      </c>
      <c r="L36" s="502">
        <f t="shared" si="0"/>
        <v>51.619269596077288</v>
      </c>
    </row>
    <row r="37" spans="1:12">
      <c r="A37" s="720"/>
      <c r="B37" s="509">
        <v>80123</v>
      </c>
      <c r="C37" s="424" t="s">
        <v>57</v>
      </c>
      <c r="D37" s="431">
        <v>821694</v>
      </c>
      <c r="E37" s="427">
        <v>440162.08</v>
      </c>
      <c r="F37" s="427">
        <v>440162.08</v>
      </c>
      <c r="G37" s="427">
        <v>136593.88</v>
      </c>
      <c r="H37" s="419">
        <v>22375.7</v>
      </c>
      <c r="I37" s="419">
        <v>245539.3</v>
      </c>
      <c r="J37" s="524">
        <v>0</v>
      </c>
      <c r="K37" s="524">
        <v>0</v>
      </c>
      <c r="L37" s="502">
        <f t="shared" si="0"/>
        <v>53.567639534912026</v>
      </c>
    </row>
    <row r="38" spans="1:12">
      <c r="A38" s="720"/>
      <c r="B38" s="509">
        <v>80130</v>
      </c>
      <c r="C38" s="424" t="s">
        <v>58</v>
      </c>
      <c r="D38" s="431">
        <v>4336671</v>
      </c>
      <c r="E38" s="427">
        <v>2293440.9900000002</v>
      </c>
      <c r="F38" s="427">
        <f>E38-K38</f>
        <v>2285640.9900000002</v>
      </c>
      <c r="G38" s="427">
        <v>1482262.36</v>
      </c>
      <c r="H38" s="419">
        <v>250392.21</v>
      </c>
      <c r="I38" s="419">
        <v>142324</v>
      </c>
      <c r="J38" s="524">
        <v>0</v>
      </c>
      <c r="K38" s="503">
        <v>7800</v>
      </c>
      <c r="L38" s="502">
        <f t="shared" si="0"/>
        <v>52.88482778610598</v>
      </c>
    </row>
    <row r="39" spans="1:12" ht="23.25" customHeight="1">
      <c r="A39" s="720"/>
      <c r="B39" s="509">
        <v>80140</v>
      </c>
      <c r="C39" s="424" t="s">
        <v>475</v>
      </c>
      <c r="D39" s="431">
        <v>141116</v>
      </c>
      <c r="E39" s="427">
        <v>92968.45</v>
      </c>
      <c r="F39" s="427">
        <f>E39</f>
        <v>92968.45</v>
      </c>
      <c r="G39" s="427">
        <v>23318.54</v>
      </c>
      <c r="H39" s="419">
        <v>2654.74</v>
      </c>
      <c r="I39" s="524">
        <v>0</v>
      </c>
      <c r="J39" s="524">
        <v>0</v>
      </c>
      <c r="K39" s="524">
        <v>0</v>
      </c>
      <c r="L39" s="502">
        <f t="shared" si="0"/>
        <v>65.880871056435836</v>
      </c>
    </row>
    <row r="40" spans="1:12" ht="13.5" customHeight="1">
      <c r="A40" s="720"/>
      <c r="B40" s="509">
        <v>80146</v>
      </c>
      <c r="C40" s="424" t="s">
        <v>100</v>
      </c>
      <c r="D40" s="418">
        <v>47889</v>
      </c>
      <c r="E40" s="419">
        <v>25998.29</v>
      </c>
      <c r="F40" s="419">
        <v>25998.29</v>
      </c>
      <c r="G40" s="524">
        <v>0</v>
      </c>
      <c r="H40" s="524">
        <v>0</v>
      </c>
      <c r="I40" s="524">
        <v>0</v>
      </c>
      <c r="J40" s="524">
        <v>0</v>
      </c>
      <c r="K40" s="524">
        <v>0</v>
      </c>
      <c r="L40" s="502">
        <f t="shared" si="0"/>
        <v>54.288646662072715</v>
      </c>
    </row>
    <row r="41" spans="1:12" ht="13.5" customHeight="1">
      <c r="A41" s="426"/>
      <c r="B41" s="509">
        <v>80148</v>
      </c>
      <c r="C41" s="424" t="s">
        <v>324</v>
      </c>
      <c r="D41" s="418">
        <v>171034</v>
      </c>
      <c r="E41" s="419">
        <v>89813.42</v>
      </c>
      <c r="F41" s="419">
        <f>E41</f>
        <v>89813.42</v>
      </c>
      <c r="G41" s="419">
        <v>19680.68</v>
      </c>
      <c r="H41" s="419">
        <v>5077.17</v>
      </c>
      <c r="I41" s="524">
        <v>0</v>
      </c>
      <c r="J41" s="524">
        <v>0</v>
      </c>
      <c r="K41" s="524">
        <v>0</v>
      </c>
      <c r="L41" s="502">
        <f t="shared" si="0"/>
        <v>52.512026848462881</v>
      </c>
    </row>
    <row r="42" spans="1:12" ht="13.5" customHeight="1">
      <c r="A42" s="513">
        <v>851</v>
      </c>
      <c r="B42" s="438"/>
      <c r="C42" s="432" t="s">
        <v>49</v>
      </c>
      <c r="D42" s="422">
        <f>D43</f>
        <v>590000</v>
      </c>
      <c r="E42" s="546">
        <f>E43</f>
        <v>11025.07</v>
      </c>
      <c r="F42" s="524">
        <v>0</v>
      </c>
      <c r="G42" s="524">
        <v>0</v>
      </c>
      <c r="H42" s="524">
        <v>0</v>
      </c>
      <c r="I42" s="524">
        <v>0</v>
      </c>
      <c r="J42" s="524">
        <v>0</v>
      </c>
      <c r="K42" s="547">
        <f>K43</f>
        <v>11025.07</v>
      </c>
      <c r="L42" s="548">
        <f t="shared" si="0"/>
        <v>1.8686559322033898</v>
      </c>
    </row>
    <row r="43" spans="1:12" ht="13.5" customHeight="1">
      <c r="A43" s="426"/>
      <c r="B43" s="511">
        <v>85111</v>
      </c>
      <c r="C43" s="433" t="s">
        <v>101</v>
      </c>
      <c r="D43" s="429">
        <v>590000</v>
      </c>
      <c r="E43" s="419">
        <v>11025.07</v>
      </c>
      <c r="F43" s="524">
        <v>0</v>
      </c>
      <c r="G43" s="524">
        <v>0</v>
      </c>
      <c r="H43" s="524">
        <v>0</v>
      </c>
      <c r="I43" s="524">
        <v>0</v>
      </c>
      <c r="J43" s="524">
        <v>0</v>
      </c>
      <c r="K43" s="503">
        <v>11025.07</v>
      </c>
      <c r="L43" s="502">
        <f t="shared" si="0"/>
        <v>1.8686559322033898</v>
      </c>
    </row>
    <row r="44" spans="1:12">
      <c r="A44" s="507">
        <v>852</v>
      </c>
      <c r="B44" s="438"/>
      <c r="C44" s="421" t="s">
        <v>50</v>
      </c>
      <c r="D44" s="422">
        <f>SUM(D45:D49)</f>
        <v>7656618</v>
      </c>
      <c r="E44" s="423">
        <f>SUM(E45:E49)</f>
        <v>3460655.3200000003</v>
      </c>
      <c r="F44" s="423">
        <f>SUM(F45:F49)</f>
        <v>3460655.3200000003</v>
      </c>
      <c r="G44" s="423">
        <f t="shared" ref="G44" si="11">SUM(G45:G48)</f>
        <v>728696.69000000006</v>
      </c>
      <c r="H44" s="423">
        <f t="shared" ref="H44" si="12">SUM(H45:H48)</f>
        <v>125901.13</v>
      </c>
      <c r="I44" s="423">
        <f t="shared" ref="I44" si="13">SUM(I45:I48)</f>
        <v>1494405.87</v>
      </c>
      <c r="J44" s="423">
        <f t="shared" ref="J44" si="14">SUM(J45:J48)</f>
        <v>0</v>
      </c>
      <c r="K44" s="423">
        <f t="shared" ref="K44" si="15">SUM(K45:K48)</f>
        <v>0</v>
      </c>
      <c r="L44" s="502">
        <f t="shared" si="0"/>
        <v>45.198223549875422</v>
      </c>
    </row>
    <row r="45" spans="1:12" ht="11.25" customHeight="1">
      <c r="A45" s="719"/>
      <c r="B45" s="509">
        <v>85201</v>
      </c>
      <c r="C45" s="424" t="s">
        <v>476</v>
      </c>
      <c r="D45" s="418">
        <v>3573628</v>
      </c>
      <c r="E45" s="419">
        <v>1462935.29</v>
      </c>
      <c r="F45" s="419">
        <f>E45</f>
        <v>1462935.29</v>
      </c>
      <c r="G45" s="419">
        <v>542014.29</v>
      </c>
      <c r="H45" s="419">
        <v>92696.9</v>
      </c>
      <c r="I45" s="419">
        <v>524200</v>
      </c>
      <c r="J45" s="524">
        <v>0</v>
      </c>
      <c r="K45" s="524">
        <v>0</v>
      </c>
      <c r="L45" s="502">
        <f t="shared" si="0"/>
        <v>40.936977491781462</v>
      </c>
    </row>
    <row r="46" spans="1:12">
      <c r="A46" s="720"/>
      <c r="B46" s="509">
        <v>85202</v>
      </c>
      <c r="C46" s="424" t="s">
        <v>105</v>
      </c>
      <c r="D46" s="418">
        <v>1970000</v>
      </c>
      <c r="E46" s="419">
        <v>925015</v>
      </c>
      <c r="F46" s="419">
        <f>E46</f>
        <v>925015</v>
      </c>
      <c r="G46" s="419"/>
      <c r="H46" s="419"/>
      <c r="I46" s="419">
        <f>F46</f>
        <v>925015</v>
      </c>
      <c r="J46" s="524">
        <v>0</v>
      </c>
      <c r="K46" s="524">
        <v>0</v>
      </c>
      <c r="L46" s="502">
        <f t="shared" si="0"/>
        <v>46.955076142131979</v>
      </c>
    </row>
    <row r="47" spans="1:12">
      <c r="A47" s="720"/>
      <c r="B47" s="509">
        <v>85204</v>
      </c>
      <c r="C47" s="424" t="s">
        <v>130</v>
      </c>
      <c r="D47" s="418">
        <v>1662358</v>
      </c>
      <c r="E47" s="419">
        <v>840038.16</v>
      </c>
      <c r="F47" s="419">
        <f>E47</f>
        <v>840038.16</v>
      </c>
      <c r="G47" s="427">
        <v>51999.4</v>
      </c>
      <c r="H47" s="419">
        <v>9302.66</v>
      </c>
      <c r="I47" s="419">
        <v>45190.87</v>
      </c>
      <c r="J47" s="524">
        <v>0</v>
      </c>
      <c r="K47" s="524">
        <v>0</v>
      </c>
      <c r="L47" s="502">
        <f t="shared" si="0"/>
        <v>50.532927323717281</v>
      </c>
    </row>
    <row r="48" spans="1:12" ht="12" customHeight="1">
      <c r="A48" s="720"/>
      <c r="B48" s="509">
        <v>85218</v>
      </c>
      <c r="C48" s="424" t="s">
        <v>108</v>
      </c>
      <c r="D48" s="418">
        <v>448052</v>
      </c>
      <c r="E48" s="419">
        <v>230086.87</v>
      </c>
      <c r="F48" s="419">
        <f>E48</f>
        <v>230086.87</v>
      </c>
      <c r="G48" s="427">
        <v>134683</v>
      </c>
      <c r="H48" s="419">
        <v>23901.57</v>
      </c>
      <c r="I48" s="524">
        <v>0</v>
      </c>
      <c r="J48" s="524">
        <v>0</v>
      </c>
      <c r="K48" s="524">
        <v>0</v>
      </c>
      <c r="L48" s="502">
        <f t="shared" si="0"/>
        <v>51.352715756206869</v>
      </c>
    </row>
    <row r="49" spans="1:12" ht="12" customHeight="1">
      <c r="A49" s="721"/>
      <c r="B49" s="509">
        <v>85233</v>
      </c>
      <c r="C49" s="424" t="s">
        <v>100</v>
      </c>
      <c r="D49" s="418">
        <v>2580</v>
      </c>
      <c r="E49" s="419">
        <v>2580</v>
      </c>
      <c r="F49" s="419">
        <v>2580</v>
      </c>
      <c r="G49" s="524">
        <v>0</v>
      </c>
      <c r="H49" s="524">
        <v>0</v>
      </c>
      <c r="I49" s="524">
        <v>0</v>
      </c>
      <c r="J49" s="524">
        <v>0</v>
      </c>
      <c r="K49" s="524">
        <v>0</v>
      </c>
      <c r="L49" s="502">
        <f t="shared" si="0"/>
        <v>100</v>
      </c>
    </row>
    <row r="50" spans="1:12" ht="21">
      <c r="A50" s="438">
        <v>853</v>
      </c>
      <c r="B50" s="438"/>
      <c r="C50" s="421" t="s">
        <v>132</v>
      </c>
      <c r="D50" s="422">
        <f>D52+D53+D51</f>
        <v>2102087</v>
      </c>
      <c r="E50" s="423">
        <f>SUM(E51:E53)</f>
        <v>880491.91</v>
      </c>
      <c r="F50" s="423">
        <f t="shared" ref="F50" si="16">SUM(F51:F53)</f>
        <v>880491.91</v>
      </c>
      <c r="G50" s="423">
        <f t="shared" ref="G50" si="17">SUM(G51:G53)</f>
        <v>649005.94000000006</v>
      </c>
      <c r="H50" s="423">
        <f t="shared" ref="H50" si="18">SUM(H51:H53)</f>
        <v>101013.76000000001</v>
      </c>
      <c r="I50" s="423">
        <f t="shared" ref="I50" si="19">SUM(I51:I53)</f>
        <v>0</v>
      </c>
      <c r="J50" s="423">
        <f t="shared" ref="J50" si="20">SUM(J51:J53)</f>
        <v>0</v>
      </c>
      <c r="K50" s="423">
        <f t="shared" ref="K50" si="21">SUM(K51:K53)</f>
        <v>0</v>
      </c>
      <c r="L50" s="502">
        <f t="shared" si="0"/>
        <v>41.886558929292647</v>
      </c>
    </row>
    <row r="51" spans="1:12" ht="24.75" customHeight="1">
      <c r="A51" s="719"/>
      <c r="B51" s="441">
        <v>85311</v>
      </c>
      <c r="C51" s="436" t="s">
        <v>184</v>
      </c>
      <c r="D51" s="418">
        <f>zał6!D67</f>
        <v>10000</v>
      </c>
      <c r="E51" s="524">
        <v>0</v>
      </c>
      <c r="F51" s="524">
        <v>0</v>
      </c>
      <c r="G51" s="524">
        <v>0</v>
      </c>
      <c r="H51" s="524">
        <v>0</v>
      </c>
      <c r="I51" s="524">
        <v>0</v>
      </c>
      <c r="J51" s="524">
        <v>0</v>
      </c>
      <c r="K51" s="524">
        <v>0</v>
      </c>
      <c r="L51" s="502">
        <f t="shared" si="0"/>
        <v>0</v>
      </c>
    </row>
    <row r="52" spans="1:12">
      <c r="A52" s="720"/>
      <c r="B52" s="441">
        <v>85333</v>
      </c>
      <c r="C52" s="514" t="s">
        <v>110</v>
      </c>
      <c r="D52" s="418">
        <f>zał6!D69</f>
        <v>1545442</v>
      </c>
      <c r="E52" s="419">
        <v>759829.77</v>
      </c>
      <c r="F52" s="419">
        <f>E52</f>
        <v>759829.77</v>
      </c>
      <c r="G52" s="419">
        <v>592756.9</v>
      </c>
      <c r="H52" s="419">
        <v>96459.57</v>
      </c>
      <c r="I52" s="524">
        <v>0</v>
      </c>
      <c r="J52" s="524">
        <v>0</v>
      </c>
      <c r="K52" s="524">
        <v>0</v>
      </c>
      <c r="L52" s="502">
        <f t="shared" si="0"/>
        <v>49.165854816939103</v>
      </c>
    </row>
    <row r="53" spans="1:12">
      <c r="A53" s="721"/>
      <c r="B53" s="441">
        <v>85395</v>
      </c>
      <c r="C53" s="118" t="s">
        <v>89</v>
      </c>
      <c r="D53" s="418">
        <f>zał6!D71-528755</f>
        <v>546645</v>
      </c>
      <c r="E53" s="419">
        <f>649416.58-528754.44</f>
        <v>120662.14000000001</v>
      </c>
      <c r="F53" s="419">
        <f>E53</f>
        <v>120662.14000000001</v>
      </c>
      <c r="G53" s="419">
        <v>56249.04</v>
      </c>
      <c r="H53" s="419">
        <v>4554.1899999999996</v>
      </c>
      <c r="I53" s="524">
        <v>0</v>
      </c>
      <c r="J53" s="524">
        <v>0</v>
      </c>
      <c r="K53" s="524">
        <v>0</v>
      </c>
      <c r="L53" s="502">
        <f t="shared" si="0"/>
        <v>22.073217536060881</v>
      </c>
    </row>
    <row r="54" spans="1:12" ht="13.5" customHeight="1">
      <c r="A54" s="515">
        <v>854</v>
      </c>
      <c r="B54" s="515" t="s">
        <v>27</v>
      </c>
      <c r="C54" s="516" t="s">
        <v>111</v>
      </c>
      <c r="D54" s="517">
        <f>SUM(D55:D61)</f>
        <v>3647976</v>
      </c>
      <c r="E54" s="518">
        <f>SUM(E55:E61)</f>
        <v>1844682.4</v>
      </c>
      <c r="F54" s="518">
        <f t="shared" ref="F54:K54" si="22">SUM(F55:F61)</f>
        <v>1844682.4</v>
      </c>
      <c r="G54" s="518">
        <f t="shared" si="22"/>
        <v>906172.21000000008</v>
      </c>
      <c r="H54" s="518">
        <f t="shared" si="22"/>
        <v>139329.01</v>
      </c>
      <c r="I54" s="518">
        <f t="shared" si="22"/>
        <v>384752</v>
      </c>
      <c r="J54" s="518">
        <f t="shared" si="22"/>
        <v>0</v>
      </c>
      <c r="K54" s="518">
        <f t="shared" si="22"/>
        <v>0</v>
      </c>
      <c r="L54" s="519">
        <f t="shared" si="0"/>
        <v>50.567284433888815</v>
      </c>
    </row>
    <row r="55" spans="1:12" ht="12.75" customHeight="1">
      <c r="A55" s="719"/>
      <c r="B55" s="509">
        <v>85406</v>
      </c>
      <c r="C55" s="514" t="s">
        <v>477</v>
      </c>
      <c r="D55" s="418">
        <v>656421</v>
      </c>
      <c r="E55" s="419">
        <v>333879.3</v>
      </c>
      <c r="F55" s="419">
        <f>E55</f>
        <v>333879.3</v>
      </c>
      <c r="G55" s="427">
        <v>241950.42</v>
      </c>
      <c r="H55" s="419">
        <v>38347.279999999999</v>
      </c>
      <c r="I55" s="524">
        <v>0</v>
      </c>
      <c r="J55" s="524">
        <v>0</v>
      </c>
      <c r="K55" s="524">
        <v>0</v>
      </c>
      <c r="L55" s="502">
        <f t="shared" si="0"/>
        <v>50.863592115425924</v>
      </c>
    </row>
    <row r="56" spans="1:12" ht="11.25" customHeight="1">
      <c r="A56" s="720"/>
      <c r="B56" s="527">
        <v>85407</v>
      </c>
      <c r="C56" s="514" t="s">
        <v>60</v>
      </c>
      <c r="D56" s="528">
        <v>434578</v>
      </c>
      <c r="E56" s="529">
        <v>208771.02</v>
      </c>
      <c r="F56" s="529">
        <v>208771.02</v>
      </c>
      <c r="G56" s="530">
        <v>155491.01</v>
      </c>
      <c r="H56" s="529">
        <v>19399.650000000001</v>
      </c>
      <c r="I56" s="524">
        <v>0</v>
      </c>
      <c r="J56" s="524">
        <v>0</v>
      </c>
      <c r="K56" s="524">
        <v>0</v>
      </c>
      <c r="L56" s="519">
        <f t="shared" si="0"/>
        <v>48.03994219679781</v>
      </c>
    </row>
    <row r="57" spans="1:12">
      <c r="A57" s="720"/>
      <c r="B57" s="509">
        <v>85410</v>
      </c>
      <c r="C57" s="514" t="s">
        <v>61</v>
      </c>
      <c r="D57" s="431">
        <v>527787</v>
      </c>
      <c r="E57" s="427">
        <v>334023.28999999998</v>
      </c>
      <c r="F57" s="419">
        <f>E57</f>
        <v>334023.28999999998</v>
      </c>
      <c r="G57" s="427">
        <v>182022.63</v>
      </c>
      <c r="H57" s="419">
        <v>28005.07</v>
      </c>
      <c r="I57" s="524">
        <v>0</v>
      </c>
      <c r="J57" s="524">
        <v>0</v>
      </c>
      <c r="K57" s="524">
        <v>0</v>
      </c>
      <c r="L57" s="502">
        <f t="shared" si="0"/>
        <v>63.287517502325741</v>
      </c>
    </row>
    <row r="58" spans="1:12" ht="12" customHeight="1">
      <c r="A58" s="720"/>
      <c r="B58" s="509">
        <v>85415</v>
      </c>
      <c r="C58" s="424" t="s">
        <v>113</v>
      </c>
      <c r="D58" s="431">
        <v>9600</v>
      </c>
      <c r="E58" s="427">
        <v>9600</v>
      </c>
      <c r="F58" s="419">
        <f>E58</f>
        <v>9600</v>
      </c>
      <c r="G58" s="524">
        <v>0</v>
      </c>
      <c r="H58" s="524">
        <v>0</v>
      </c>
      <c r="I58" s="524">
        <v>0</v>
      </c>
      <c r="J58" s="524">
        <v>0</v>
      </c>
      <c r="K58" s="524">
        <v>0</v>
      </c>
      <c r="L58" s="502">
        <f t="shared" si="0"/>
        <v>100</v>
      </c>
    </row>
    <row r="59" spans="1:12" ht="22.5">
      <c r="A59" s="720"/>
      <c r="B59" s="509">
        <v>85419</v>
      </c>
      <c r="C59" s="514" t="s">
        <v>182</v>
      </c>
      <c r="D59" s="431">
        <v>947017</v>
      </c>
      <c r="E59" s="427">
        <v>384752</v>
      </c>
      <c r="F59" s="419">
        <v>384752</v>
      </c>
      <c r="G59" s="524">
        <v>0</v>
      </c>
      <c r="H59" s="524">
        <v>0</v>
      </c>
      <c r="I59" s="419">
        <f>F59</f>
        <v>384752</v>
      </c>
      <c r="J59" s="524">
        <v>0</v>
      </c>
      <c r="K59" s="524">
        <v>0</v>
      </c>
      <c r="L59" s="502">
        <f t="shared" si="0"/>
        <v>40.627781761045476</v>
      </c>
    </row>
    <row r="60" spans="1:12" ht="11.25" customHeight="1">
      <c r="A60" s="720"/>
      <c r="B60" s="509">
        <v>85420</v>
      </c>
      <c r="C60" s="514" t="s">
        <v>479</v>
      </c>
      <c r="D60" s="431">
        <v>1062354</v>
      </c>
      <c r="E60" s="427">
        <v>572932.49</v>
      </c>
      <c r="F60" s="419">
        <f>E60</f>
        <v>572932.49</v>
      </c>
      <c r="G60" s="427">
        <v>326708.15000000002</v>
      </c>
      <c r="H60" s="419">
        <v>53577.01</v>
      </c>
      <c r="I60" s="524">
        <v>0</v>
      </c>
      <c r="J60" s="524">
        <v>0</v>
      </c>
      <c r="K60" s="524">
        <v>0</v>
      </c>
      <c r="L60" s="502">
        <f t="shared" si="0"/>
        <v>53.930468563209622</v>
      </c>
    </row>
    <row r="61" spans="1:12" ht="12.75" customHeight="1">
      <c r="A61" s="720"/>
      <c r="B61" s="509">
        <v>85446</v>
      </c>
      <c r="C61" s="424" t="s">
        <v>100</v>
      </c>
      <c r="D61" s="431">
        <v>10219</v>
      </c>
      <c r="E61" s="427">
        <v>724.3</v>
      </c>
      <c r="F61" s="419">
        <v>724.3</v>
      </c>
      <c r="G61" s="524">
        <v>0</v>
      </c>
      <c r="H61" s="524">
        <v>0</v>
      </c>
      <c r="I61" s="524">
        <v>0</v>
      </c>
      <c r="J61" s="524">
        <v>0</v>
      </c>
      <c r="K61" s="524">
        <v>0</v>
      </c>
      <c r="L61" s="502">
        <f t="shared" si="0"/>
        <v>7.0877776690478509</v>
      </c>
    </row>
    <row r="62" spans="1:12" ht="21">
      <c r="A62" s="512">
        <v>921</v>
      </c>
      <c r="B62" s="520"/>
      <c r="C62" s="421" t="s">
        <v>134</v>
      </c>
      <c r="D62" s="422">
        <f>D63+D64+D65</f>
        <v>180000</v>
      </c>
      <c r="E62" s="423">
        <f>E63</f>
        <v>0</v>
      </c>
      <c r="F62" s="423">
        <f>F63</f>
        <v>0</v>
      </c>
      <c r="G62" s="524">
        <v>0</v>
      </c>
      <c r="H62" s="524">
        <v>0</v>
      </c>
      <c r="I62" s="524">
        <v>0</v>
      </c>
      <c r="J62" s="524">
        <v>0</v>
      </c>
      <c r="K62" s="524">
        <v>0</v>
      </c>
      <c r="L62" s="502">
        <f t="shared" si="0"/>
        <v>0</v>
      </c>
    </row>
    <row r="63" spans="1:12" ht="11.25" customHeight="1">
      <c r="A63" s="804"/>
      <c r="B63" s="521">
        <v>92105</v>
      </c>
      <c r="C63" s="424" t="s">
        <v>478</v>
      </c>
      <c r="D63" s="418">
        <v>60000</v>
      </c>
      <c r="E63" s="524">
        <v>0</v>
      </c>
      <c r="F63" s="524">
        <v>0</v>
      </c>
      <c r="G63" s="524">
        <v>0</v>
      </c>
      <c r="H63" s="524">
        <v>0</v>
      </c>
      <c r="I63" s="524">
        <v>0</v>
      </c>
      <c r="J63" s="524">
        <v>0</v>
      </c>
      <c r="K63" s="524">
        <v>0</v>
      </c>
      <c r="L63" s="502">
        <f t="shared" si="0"/>
        <v>0</v>
      </c>
    </row>
    <row r="64" spans="1:12">
      <c r="A64" s="805"/>
      <c r="B64" s="521">
        <v>92116</v>
      </c>
      <c r="C64" s="424" t="s">
        <v>325</v>
      </c>
      <c r="D64" s="418">
        <v>50000</v>
      </c>
      <c r="E64" s="524">
        <v>0</v>
      </c>
      <c r="F64" s="524">
        <v>0</v>
      </c>
      <c r="G64" s="524">
        <v>0</v>
      </c>
      <c r="H64" s="524">
        <v>0</v>
      </c>
      <c r="I64" s="524">
        <v>0</v>
      </c>
      <c r="J64" s="524">
        <v>0</v>
      </c>
      <c r="K64" s="524">
        <v>0</v>
      </c>
      <c r="L64" s="524">
        <v>0</v>
      </c>
    </row>
    <row r="65" spans="1:12">
      <c r="A65" s="806"/>
      <c r="B65" s="521">
        <v>92195</v>
      </c>
      <c r="C65" s="424" t="s">
        <v>89</v>
      </c>
      <c r="D65" s="418">
        <v>70000</v>
      </c>
      <c r="E65" s="524">
        <v>0</v>
      </c>
      <c r="F65" s="524">
        <v>0</v>
      </c>
      <c r="G65" s="524">
        <v>0</v>
      </c>
      <c r="H65" s="524">
        <v>0</v>
      </c>
      <c r="I65" s="524">
        <v>0</v>
      </c>
      <c r="J65" s="524">
        <v>0</v>
      </c>
      <c r="K65" s="524">
        <v>0</v>
      </c>
      <c r="L65" s="524">
        <v>0</v>
      </c>
    </row>
    <row r="66" spans="1:12">
      <c r="A66" s="522">
        <v>926</v>
      </c>
      <c r="B66" s="520"/>
      <c r="C66" s="421" t="s">
        <v>114</v>
      </c>
      <c r="D66" s="422">
        <f>D68+D67+D69</f>
        <v>954175</v>
      </c>
      <c r="E66" s="423">
        <f t="shared" ref="E66:K66" si="23">E68+E67</f>
        <v>314501.96999999997</v>
      </c>
      <c r="F66" s="423">
        <f t="shared" si="23"/>
        <v>19000</v>
      </c>
      <c r="G66" s="423">
        <f t="shared" si="23"/>
        <v>0</v>
      </c>
      <c r="H66" s="423">
        <f t="shared" si="23"/>
        <v>0</v>
      </c>
      <c r="I66" s="423">
        <f t="shared" si="23"/>
        <v>19000</v>
      </c>
      <c r="J66" s="423">
        <f t="shared" si="23"/>
        <v>0</v>
      </c>
      <c r="K66" s="423">
        <f t="shared" si="23"/>
        <v>295501.96999999997</v>
      </c>
      <c r="L66" s="502">
        <f t="shared" si="0"/>
        <v>32.960617287185265</v>
      </c>
    </row>
    <row r="67" spans="1:12">
      <c r="A67" s="719"/>
      <c r="B67" s="521">
        <v>92601</v>
      </c>
      <c r="C67" s="424" t="s">
        <v>183</v>
      </c>
      <c r="D67" s="418">
        <v>874175</v>
      </c>
      <c r="E67" s="523">
        <v>295501.96999999997</v>
      </c>
      <c r="F67" s="524">
        <v>0</v>
      </c>
      <c r="G67" s="524">
        <v>0</v>
      </c>
      <c r="H67" s="524">
        <v>0</v>
      </c>
      <c r="I67" s="524">
        <v>0</v>
      </c>
      <c r="J67" s="524">
        <v>0</v>
      </c>
      <c r="K67" s="524">
        <f>E67</f>
        <v>295501.96999999997</v>
      </c>
      <c r="L67" s="502">
        <f t="shared" si="0"/>
        <v>33.803525609860721</v>
      </c>
    </row>
    <row r="68" spans="1:12" ht="22.5">
      <c r="A68" s="720"/>
      <c r="B68" s="521">
        <v>92605</v>
      </c>
      <c r="C68" s="424" t="s">
        <v>413</v>
      </c>
      <c r="D68" s="418">
        <v>40000</v>
      </c>
      <c r="E68" s="523">
        <v>19000</v>
      </c>
      <c r="F68" s="523">
        <f>E68</f>
        <v>19000</v>
      </c>
      <c r="G68" s="524">
        <v>0</v>
      </c>
      <c r="H68" s="524">
        <v>0</v>
      </c>
      <c r="I68" s="419">
        <v>19000</v>
      </c>
      <c r="J68" s="524">
        <v>0</v>
      </c>
      <c r="K68" s="524">
        <v>0</v>
      </c>
      <c r="L68" s="502">
        <f t="shared" si="0"/>
        <v>47.5</v>
      </c>
    </row>
    <row r="69" spans="1:12">
      <c r="A69" s="721"/>
      <c r="B69" s="509">
        <v>92695</v>
      </c>
      <c r="C69" s="424" t="s">
        <v>89</v>
      </c>
      <c r="D69" s="525">
        <v>40000</v>
      </c>
      <c r="E69" s="524">
        <v>0</v>
      </c>
      <c r="F69" s="524">
        <v>0</v>
      </c>
      <c r="G69" s="524">
        <v>0</v>
      </c>
      <c r="H69" s="524">
        <v>0</v>
      </c>
      <c r="I69" s="524">
        <v>0</v>
      </c>
      <c r="J69" s="524">
        <v>0</v>
      </c>
      <c r="K69" s="524">
        <v>0</v>
      </c>
      <c r="L69" s="524">
        <v>0</v>
      </c>
    </row>
    <row r="70" spans="1:12">
      <c r="A70" s="801" t="s">
        <v>41</v>
      </c>
      <c r="B70" s="802"/>
      <c r="C70" s="803"/>
      <c r="D70" s="526">
        <f>D11+D13+D18+D20+D22+D31+D33+D44+D50+D54+D66+D62+D16+D27+D42</f>
        <v>34611591</v>
      </c>
      <c r="E70" s="505">
        <f>E11+E13+E18+E20+E22+E31+E33+E44+E50+E54+E66+E62+E16+E27+E42</f>
        <v>16288353.120000003</v>
      </c>
      <c r="F70" s="505">
        <f>F11+F13+F18+F20+F22+F31+F33+F44+F50+F54+F66+F62+F16+F27</f>
        <v>15905101.080000002</v>
      </c>
      <c r="G70" s="505">
        <f>G11+G13+G18+G20+G22+G31+G33+G44+G50+G54+G66+G62+G16</f>
        <v>7448401.080000001</v>
      </c>
      <c r="H70" s="505">
        <f>H11+H13+H18+H20+H22+H31+H33+H44+H50+H54+H66+H62+H16</f>
        <v>1227104.7900000003</v>
      </c>
      <c r="I70" s="505">
        <f>I11+I13+I18+I20+I22+I31+I33+I44+I50+I54+I66+I62+I16+I27</f>
        <v>2521411.87</v>
      </c>
      <c r="J70" s="505">
        <f>J11+J13+J18+J20+J22+J31+J33+J44+J50+J54+J66+J62+J16</f>
        <v>202689.35</v>
      </c>
      <c r="K70" s="505">
        <f>K11+K13+K18+K20+K22+K31+K33+K44+K50+K54+K66+K62+K16+K42+K27</f>
        <v>383252.04</v>
      </c>
      <c r="L70" s="502">
        <f t="shared" si="0"/>
        <v>47.060399852754536</v>
      </c>
    </row>
    <row r="76" spans="1:12">
      <c r="A76" s="194"/>
      <c r="B76" s="194"/>
      <c r="C76" s="194"/>
      <c r="D76" s="194"/>
      <c r="E76" s="194"/>
      <c r="F76" s="194"/>
      <c r="G76" s="194"/>
      <c r="H76" s="194"/>
      <c r="I76" s="194"/>
      <c r="J76" s="194"/>
      <c r="K76" s="194"/>
      <c r="L76" s="194"/>
    </row>
    <row r="77" spans="1:12">
      <c r="A77" s="194"/>
      <c r="B77" s="194"/>
      <c r="C77" s="194"/>
      <c r="D77" s="194"/>
      <c r="E77" s="194"/>
      <c r="F77" s="194"/>
      <c r="G77" s="194"/>
      <c r="H77" s="194"/>
      <c r="I77" s="194"/>
      <c r="J77" s="194"/>
      <c r="K77" s="194"/>
      <c r="L77" s="194"/>
    </row>
    <row r="78" spans="1:12">
      <c r="A78" s="194"/>
      <c r="B78" s="194"/>
      <c r="C78" s="194"/>
      <c r="D78" s="194"/>
      <c r="E78" s="194"/>
      <c r="F78" s="194"/>
      <c r="G78" s="194"/>
      <c r="H78" s="194"/>
      <c r="I78" s="194"/>
      <c r="J78" s="194"/>
      <c r="K78" s="194"/>
      <c r="L78" s="194"/>
    </row>
  </sheetData>
  <mergeCells count="22">
    <mergeCell ref="A2:L2"/>
    <mergeCell ref="A3:L3"/>
    <mergeCell ref="A4:L4"/>
    <mergeCell ref="A5:L5"/>
    <mergeCell ref="A7:A9"/>
    <mergeCell ref="B7:B9"/>
    <mergeCell ref="C7:C9"/>
    <mergeCell ref="D7:D9"/>
    <mergeCell ref="F7:K7"/>
    <mergeCell ref="L7:L9"/>
    <mergeCell ref="F8:F9"/>
    <mergeCell ref="K8:K9"/>
    <mergeCell ref="A55:A61"/>
    <mergeCell ref="A70:C70"/>
    <mergeCell ref="A14:A15"/>
    <mergeCell ref="A23:A26"/>
    <mergeCell ref="A34:A40"/>
    <mergeCell ref="A51:A53"/>
    <mergeCell ref="A28:A30"/>
    <mergeCell ref="A45:A49"/>
    <mergeCell ref="A63:A65"/>
    <mergeCell ref="A67:A69"/>
  </mergeCells>
  <phoneticPr fontId="0" type="noConversion"/>
  <pageMargins left="0.78740157480314965" right="0.19685039370078741" top="0.78740157480314965" bottom="0.78740157480314965" header="0.51181102362204722" footer="0.51181102362204722"/>
  <pageSetup paperSize="9" orientation="landscape" r:id="rId1"/>
  <headerFooter alignWithMargins="0">
    <oddFooter>&amp;C&amp;"Times New (W1),Normalny"Załącznik Nr 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E35"/>
  <sheetViews>
    <sheetView view="pageLayout" workbookViewId="0">
      <selection activeCell="D39" sqref="D39"/>
    </sheetView>
  </sheetViews>
  <sheetFormatPr defaultRowHeight="12.75"/>
  <cols>
    <col min="1" max="1" width="4.85546875" customWidth="1"/>
    <col min="2" max="2" width="6.28515625" customWidth="1"/>
    <col min="3" max="3" width="29.28515625" customWidth="1"/>
    <col min="4" max="4" width="11.5703125" customWidth="1"/>
    <col min="5" max="6" width="13" customWidth="1"/>
    <col min="7" max="7" width="14" customWidth="1"/>
    <col min="8" max="8" width="11.7109375" customWidth="1"/>
    <col min="9" max="9" width="9" customWidth="1"/>
    <col min="10" max="10" width="7.42578125" customWidth="1"/>
    <col min="11" max="11" width="7.85546875" customWidth="1"/>
    <col min="12" max="12" width="6.42578125" customWidth="1"/>
  </cols>
  <sheetData>
    <row r="1" spans="1:31">
      <c r="A1" s="47"/>
      <c r="B1" s="47"/>
      <c r="C1" s="47"/>
      <c r="D1" s="787" t="s">
        <v>464</v>
      </c>
      <c r="E1" s="787"/>
      <c r="F1" s="787"/>
      <c r="G1" s="787"/>
      <c r="H1" s="787"/>
      <c r="I1" s="787"/>
      <c r="J1" s="787"/>
      <c r="K1" s="787"/>
      <c r="L1" s="787"/>
    </row>
    <row r="2" spans="1:3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31">
      <c r="A3" s="706" t="s">
        <v>12</v>
      </c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</row>
    <row r="4" spans="1:31">
      <c r="A4" s="706" t="s">
        <v>4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  <c r="L4" s="706"/>
    </row>
    <row r="5" spans="1:31" ht="14.25" customHeight="1">
      <c r="A5" s="807" t="s">
        <v>9</v>
      </c>
      <c r="B5" s="807"/>
      <c r="C5" s="807"/>
      <c r="D5" s="807"/>
      <c r="E5" s="807"/>
      <c r="F5" s="807"/>
      <c r="G5" s="807"/>
      <c r="H5" s="807"/>
      <c r="I5" s="807"/>
      <c r="J5" s="807"/>
      <c r="K5" s="807"/>
      <c r="L5" s="807"/>
    </row>
    <row r="6" spans="1:31">
      <c r="A6" s="706" t="s">
        <v>320</v>
      </c>
      <c r="B6" s="706"/>
      <c r="C6" s="706"/>
      <c r="D6" s="706"/>
      <c r="E6" s="706"/>
      <c r="F6" s="706"/>
      <c r="G6" s="706"/>
      <c r="H6" s="706"/>
      <c r="I6" s="706"/>
      <c r="J6" s="706"/>
      <c r="K6" s="706"/>
      <c r="L6" s="706"/>
    </row>
    <row r="7" spans="1:31" ht="3.75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31">
      <c r="A8" s="47" t="s">
        <v>7</v>
      </c>
      <c r="B8" s="47"/>
      <c r="C8" s="47"/>
      <c r="D8" s="47"/>
      <c r="E8" s="47"/>
      <c r="F8" s="47"/>
      <c r="G8" s="47"/>
      <c r="H8" s="47"/>
      <c r="I8" s="47"/>
      <c r="J8" s="47"/>
      <c r="K8" s="47" t="s">
        <v>169</v>
      </c>
    </row>
    <row r="9" spans="1:31" s="6" customFormat="1" ht="12.75" customHeight="1">
      <c r="A9" s="707" t="s">
        <v>0</v>
      </c>
      <c r="B9" s="707" t="s">
        <v>13</v>
      </c>
      <c r="C9" s="707" t="s">
        <v>1</v>
      </c>
      <c r="D9" s="707" t="s">
        <v>192</v>
      </c>
      <c r="E9" s="115"/>
      <c r="F9" s="808" t="s">
        <v>176</v>
      </c>
      <c r="G9" s="809"/>
      <c r="H9" s="809"/>
      <c r="I9" s="809"/>
      <c r="J9" s="809"/>
      <c r="K9" s="809"/>
      <c r="L9" s="810" t="s">
        <v>141</v>
      </c>
    </row>
    <row r="10" spans="1:31" s="6" customFormat="1" ht="12.75" customHeight="1">
      <c r="A10" s="708"/>
      <c r="B10" s="708"/>
      <c r="C10" s="708"/>
      <c r="D10" s="708"/>
      <c r="E10" s="116"/>
      <c r="F10" s="702" t="s">
        <v>14</v>
      </c>
      <c r="G10" s="117" t="s">
        <v>15</v>
      </c>
      <c r="H10" s="117"/>
      <c r="I10" s="117"/>
      <c r="J10" s="118"/>
      <c r="K10" s="811" t="s">
        <v>175</v>
      </c>
      <c r="L10" s="810"/>
    </row>
    <row r="11" spans="1:31" s="6" customFormat="1" ht="36" customHeight="1">
      <c r="A11" s="709"/>
      <c r="B11" s="709"/>
      <c r="C11" s="709"/>
      <c r="D11" s="709"/>
      <c r="E11" s="119" t="s">
        <v>144</v>
      </c>
      <c r="F11" s="704"/>
      <c r="G11" s="439" t="s">
        <v>362</v>
      </c>
      <c r="H11" s="439" t="s">
        <v>363</v>
      </c>
      <c r="I11" s="439" t="s">
        <v>364</v>
      </c>
      <c r="J11" s="440" t="s">
        <v>16</v>
      </c>
      <c r="K11" s="812"/>
      <c r="L11" s="810"/>
    </row>
    <row r="12" spans="1:31" s="105" customFormat="1" ht="11.25">
      <c r="A12" s="75">
        <v>1</v>
      </c>
      <c r="B12" s="75">
        <v>2</v>
      </c>
      <c r="C12" s="75">
        <v>3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  <c r="K12" s="75">
        <v>11</v>
      </c>
      <c r="L12" s="75">
        <v>12</v>
      </c>
    </row>
    <row r="13" spans="1:31" s="111" customFormat="1" ht="12">
      <c r="A13" s="76" t="s">
        <v>28</v>
      </c>
      <c r="B13" s="77"/>
      <c r="C13" s="78" t="s">
        <v>42</v>
      </c>
      <c r="D13" s="79">
        <f>D14</f>
        <v>88000</v>
      </c>
      <c r="E13" s="106">
        <f>E14</f>
        <v>8540</v>
      </c>
      <c r="F13" s="80">
        <f>F14</f>
        <v>8540</v>
      </c>
      <c r="G13" s="80"/>
      <c r="H13" s="80"/>
      <c r="I13" s="80"/>
      <c r="J13" s="80"/>
      <c r="K13" s="81"/>
      <c r="L13" s="109">
        <f>(F13+K13)/D13*100</f>
        <v>9.704545454545455</v>
      </c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</row>
    <row r="14" spans="1:31" s="114" customFormat="1" ht="12">
      <c r="A14" s="82" t="s">
        <v>27</v>
      </c>
      <c r="B14" s="83" t="s">
        <v>63</v>
      </c>
      <c r="C14" s="84" t="s">
        <v>79</v>
      </c>
      <c r="D14" s="85">
        <v>88000</v>
      </c>
      <c r="E14" s="86">
        <v>8540</v>
      </c>
      <c r="F14" s="86">
        <f>zał6!F14</f>
        <v>8540</v>
      </c>
      <c r="G14" s="86">
        <v>0</v>
      </c>
      <c r="H14" s="86">
        <v>0</v>
      </c>
      <c r="I14" s="86">
        <v>0</v>
      </c>
      <c r="J14" s="86">
        <v>0</v>
      </c>
      <c r="K14" s="87">
        <v>0</v>
      </c>
      <c r="L14" s="112">
        <f t="shared" ref="L14:L34" si="0">(F14+K14)/D14*100</f>
        <v>9.704545454545455</v>
      </c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</row>
    <row r="15" spans="1:31" s="74" customFormat="1" ht="12">
      <c r="A15" s="77">
        <v>700</v>
      </c>
      <c r="B15" s="76"/>
      <c r="C15" s="92" t="s">
        <v>44</v>
      </c>
      <c r="D15" s="89">
        <f>D16</f>
        <v>61000</v>
      </c>
      <c r="E15" s="90">
        <f>E16</f>
        <v>26531.66</v>
      </c>
      <c r="F15" s="90">
        <f>F16</f>
        <v>26531.66</v>
      </c>
      <c r="G15" s="90">
        <f>G16</f>
        <v>0</v>
      </c>
      <c r="H15" s="90"/>
      <c r="I15" s="90"/>
      <c r="J15" s="90"/>
      <c r="K15" s="72"/>
      <c r="L15" s="109">
        <f t="shared" si="0"/>
        <v>43.494524590163934</v>
      </c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</row>
    <row r="16" spans="1:31" s="114" customFormat="1" ht="12">
      <c r="A16" s="82" t="s">
        <v>27</v>
      </c>
      <c r="B16" s="82">
        <v>70005</v>
      </c>
      <c r="C16" s="84" t="s">
        <v>85</v>
      </c>
      <c r="D16" s="85">
        <v>61000</v>
      </c>
      <c r="E16" s="86">
        <v>26531.66</v>
      </c>
      <c r="F16" s="86">
        <f>E16</f>
        <v>26531.66</v>
      </c>
      <c r="G16" s="86"/>
      <c r="H16" s="86"/>
      <c r="I16" s="86"/>
      <c r="J16" s="86"/>
      <c r="K16" s="87"/>
      <c r="L16" s="112">
        <f t="shared" si="0"/>
        <v>43.494524590163934</v>
      </c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</row>
    <row r="17" spans="1:31" s="74" customFormat="1" ht="12">
      <c r="A17" s="93">
        <v>710</v>
      </c>
      <c r="B17" s="77"/>
      <c r="C17" s="92" t="s">
        <v>120</v>
      </c>
      <c r="D17" s="89">
        <f>D18+D19+D20+D21</f>
        <v>341600</v>
      </c>
      <c r="E17" s="90">
        <f>E18+E19+E20</f>
        <v>115584.77</v>
      </c>
      <c r="F17" s="90">
        <f>F18+F19+F20+F21</f>
        <v>115584.77</v>
      </c>
      <c r="G17" s="90">
        <f>G18+G19+G20</f>
        <v>91160.97</v>
      </c>
      <c r="H17" s="90">
        <f>H18+H19+H20</f>
        <v>16307.54</v>
      </c>
      <c r="I17" s="90"/>
      <c r="J17" s="90"/>
      <c r="K17" s="72">
        <f>K21</f>
        <v>0</v>
      </c>
      <c r="L17" s="109">
        <f t="shared" si="0"/>
        <v>33.83629098360656</v>
      </c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</row>
    <row r="18" spans="1:31" s="114" customFormat="1" ht="12">
      <c r="A18" s="102"/>
      <c r="B18" s="94">
        <v>71013</v>
      </c>
      <c r="C18" s="84" t="s">
        <v>121</v>
      </c>
      <c r="D18" s="85">
        <v>74000</v>
      </c>
      <c r="E18" s="86"/>
      <c r="F18" s="86"/>
      <c r="G18" s="86"/>
      <c r="H18" s="86"/>
      <c r="I18" s="86"/>
      <c r="J18" s="86"/>
      <c r="K18" s="87"/>
      <c r="L18" s="109">
        <f t="shared" si="0"/>
        <v>0</v>
      </c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</row>
    <row r="19" spans="1:31" s="114" customFormat="1" ht="12.75" customHeight="1">
      <c r="A19" s="103"/>
      <c r="B19" s="94">
        <v>71014</v>
      </c>
      <c r="C19" s="91" t="s">
        <v>87</v>
      </c>
      <c r="D19" s="85">
        <v>19000</v>
      </c>
      <c r="E19" s="86"/>
      <c r="F19" s="86"/>
      <c r="G19" s="86"/>
      <c r="H19" s="86"/>
      <c r="I19" s="86"/>
      <c r="J19" s="86"/>
      <c r="K19" s="87"/>
      <c r="L19" s="109">
        <f t="shared" si="0"/>
        <v>0</v>
      </c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</row>
    <row r="20" spans="1:31" s="114" customFormat="1" ht="13.5" customHeight="1">
      <c r="A20" s="104" t="s">
        <v>27</v>
      </c>
      <c r="B20" s="94">
        <v>71015</v>
      </c>
      <c r="C20" s="91" t="s">
        <v>88</v>
      </c>
      <c r="D20" s="85">
        <v>248600</v>
      </c>
      <c r="E20" s="86">
        <v>115584.77</v>
      </c>
      <c r="F20" s="86">
        <f>E20</f>
        <v>115584.77</v>
      </c>
      <c r="G20" s="86">
        <f>zał6!G28</f>
        <v>91160.97</v>
      </c>
      <c r="H20" s="86">
        <v>16307.54</v>
      </c>
      <c r="I20" s="86"/>
      <c r="J20" s="86"/>
      <c r="K20" s="87"/>
      <c r="L20" s="112">
        <f t="shared" si="0"/>
        <v>46.494275945293644</v>
      </c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</row>
    <row r="21" spans="1:31" s="114" customFormat="1" ht="13.5" hidden="1" customHeight="1">
      <c r="A21" s="103">
        <v>0</v>
      </c>
      <c r="B21" s="94">
        <v>71095</v>
      </c>
      <c r="C21" s="91" t="s">
        <v>89</v>
      </c>
      <c r="D21" s="85">
        <v>0</v>
      </c>
      <c r="E21" s="86"/>
      <c r="F21" s="86">
        <v>0</v>
      </c>
      <c r="G21" s="86"/>
      <c r="H21" s="86"/>
      <c r="I21" s="86"/>
      <c r="J21" s="86"/>
      <c r="K21" s="87">
        <v>0</v>
      </c>
      <c r="L21" s="109" t="e">
        <f t="shared" si="0"/>
        <v>#DIV/0!</v>
      </c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</row>
    <row r="22" spans="1:31" s="74" customFormat="1" ht="12">
      <c r="A22" s="95">
        <v>750</v>
      </c>
      <c r="B22" s="77"/>
      <c r="C22" s="88" t="s">
        <v>46</v>
      </c>
      <c r="D22" s="89">
        <f>D23+D24</f>
        <v>117500</v>
      </c>
      <c r="E22" s="90">
        <f>E23+E24</f>
        <v>66748.709999999992</v>
      </c>
      <c r="F22" s="90">
        <f t="shared" ref="F22:K22" si="1">F23+F24</f>
        <v>66748.709999999992</v>
      </c>
      <c r="G22" s="90">
        <f t="shared" si="1"/>
        <v>54135</v>
      </c>
      <c r="H22" s="90">
        <f t="shared" si="1"/>
        <v>7961.1</v>
      </c>
      <c r="I22" s="90">
        <f t="shared" si="1"/>
        <v>0</v>
      </c>
      <c r="J22" s="90">
        <f t="shared" si="1"/>
        <v>0</v>
      </c>
      <c r="K22" s="90">
        <f t="shared" si="1"/>
        <v>0</v>
      </c>
      <c r="L22" s="109">
        <f t="shared" si="0"/>
        <v>56.807412765957444</v>
      </c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</row>
    <row r="23" spans="1:31" s="114" customFormat="1" ht="12">
      <c r="A23" s="102" t="s">
        <v>27</v>
      </c>
      <c r="B23" s="94">
        <v>75011</v>
      </c>
      <c r="C23" s="91" t="s">
        <v>91</v>
      </c>
      <c r="D23" s="85">
        <v>101500</v>
      </c>
      <c r="E23" s="86">
        <v>50750</v>
      </c>
      <c r="F23" s="86">
        <f>E23</f>
        <v>50750</v>
      </c>
      <c r="G23" s="86">
        <v>43175</v>
      </c>
      <c r="H23" s="86">
        <v>7575</v>
      </c>
      <c r="I23" s="86"/>
      <c r="J23" s="86"/>
      <c r="K23" s="87"/>
      <c r="L23" s="112">
        <f t="shared" si="0"/>
        <v>50</v>
      </c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</row>
    <row r="24" spans="1:31" s="114" customFormat="1" ht="12.75" customHeight="1">
      <c r="A24" s="103"/>
      <c r="B24" s="94">
        <v>75045</v>
      </c>
      <c r="C24" s="91" t="s">
        <v>93</v>
      </c>
      <c r="D24" s="85">
        <v>16000</v>
      </c>
      <c r="E24" s="86">
        <v>15998.71</v>
      </c>
      <c r="F24" s="86">
        <f>E24</f>
        <v>15998.71</v>
      </c>
      <c r="G24" s="96">
        <v>10960</v>
      </c>
      <c r="H24" s="86">
        <v>386.1</v>
      </c>
      <c r="I24" s="86"/>
      <c r="J24" s="86"/>
      <c r="K24" s="87"/>
      <c r="L24" s="112">
        <f t="shared" si="0"/>
        <v>99.991937499999992</v>
      </c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</row>
    <row r="25" spans="1:31" s="74" customFormat="1" ht="12.75" customHeight="1">
      <c r="A25" s="77">
        <v>754</v>
      </c>
      <c r="B25" s="77"/>
      <c r="C25" s="88" t="s">
        <v>123</v>
      </c>
      <c r="D25" s="89">
        <f>D26</f>
        <v>2686923</v>
      </c>
      <c r="E25" s="90">
        <f>E26</f>
        <v>1337581.55</v>
      </c>
      <c r="F25" s="90">
        <f>F26</f>
        <v>1337581.55</v>
      </c>
      <c r="G25" s="90">
        <f>G26</f>
        <v>1089574.8399999999</v>
      </c>
      <c r="H25" s="90">
        <f>H26</f>
        <v>3201.07</v>
      </c>
      <c r="I25" s="90"/>
      <c r="J25" s="90"/>
      <c r="K25" s="90">
        <f>K26</f>
        <v>0</v>
      </c>
      <c r="L25" s="109">
        <f t="shared" si="0"/>
        <v>49.781164179248904</v>
      </c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</row>
    <row r="26" spans="1:31" s="114" customFormat="1" ht="15" customHeight="1">
      <c r="A26" s="103"/>
      <c r="B26" s="94">
        <v>75411</v>
      </c>
      <c r="C26" s="91" t="s">
        <v>125</v>
      </c>
      <c r="D26" s="85">
        <v>2686923</v>
      </c>
      <c r="E26" s="86">
        <v>1337581.55</v>
      </c>
      <c r="F26" s="86">
        <f>E26</f>
        <v>1337581.55</v>
      </c>
      <c r="G26" s="86">
        <f>zał6!G39</f>
        <v>1089574.8399999999</v>
      </c>
      <c r="H26" s="86">
        <v>3201.07</v>
      </c>
      <c r="I26" s="86"/>
      <c r="J26" s="86"/>
      <c r="K26" s="87"/>
      <c r="L26" s="112">
        <f t="shared" si="0"/>
        <v>49.781164179248904</v>
      </c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</row>
    <row r="27" spans="1:31" s="74" customFormat="1" ht="13.5" customHeight="1">
      <c r="A27" s="77">
        <v>851</v>
      </c>
      <c r="B27" s="77"/>
      <c r="C27" s="98" t="s">
        <v>49</v>
      </c>
      <c r="D27" s="89">
        <f>D28</f>
        <v>1936000</v>
      </c>
      <c r="E27" s="90">
        <f>E28</f>
        <v>965774.71</v>
      </c>
      <c r="F27" s="90">
        <f>F28</f>
        <v>965774.71</v>
      </c>
      <c r="G27" s="90">
        <f>G28</f>
        <v>0</v>
      </c>
      <c r="H27" s="90">
        <f>H28</f>
        <v>0</v>
      </c>
      <c r="I27" s="90"/>
      <c r="J27" s="90"/>
      <c r="K27" s="72"/>
      <c r="L27" s="109">
        <f t="shared" si="0"/>
        <v>49.885057334710744</v>
      </c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</row>
    <row r="28" spans="1:31" s="114" customFormat="1" ht="12">
      <c r="A28" s="103"/>
      <c r="B28" s="94">
        <v>85156</v>
      </c>
      <c r="C28" s="100" t="s">
        <v>103</v>
      </c>
      <c r="D28" s="85">
        <v>1936000</v>
      </c>
      <c r="E28" s="86">
        <v>965774.71</v>
      </c>
      <c r="F28" s="86">
        <f>zał6!F57</f>
        <v>965774.71</v>
      </c>
      <c r="G28" s="86"/>
      <c r="H28" s="86"/>
      <c r="I28" s="86"/>
      <c r="J28" s="86"/>
      <c r="K28" s="87"/>
      <c r="L28" s="112">
        <f t="shared" si="0"/>
        <v>49.885057334710744</v>
      </c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</row>
    <row r="29" spans="1:31" s="74" customFormat="1" ht="12">
      <c r="A29" s="77">
        <v>852</v>
      </c>
      <c r="B29" s="77"/>
      <c r="C29" s="88" t="s">
        <v>50</v>
      </c>
      <c r="D29" s="89">
        <f>SUM(D30:D31)</f>
        <v>664150</v>
      </c>
      <c r="E29" s="90">
        <f>E30</f>
        <v>300631.53000000003</v>
      </c>
      <c r="F29" s="90">
        <f>SUM(F30:F31)</f>
        <v>300631.53000000003</v>
      </c>
      <c r="G29" s="90">
        <f>SUM(G30:G31)</f>
        <v>188832.93000000002</v>
      </c>
      <c r="H29" s="90">
        <f>SUM(H30:H31)</f>
        <v>28792.78</v>
      </c>
      <c r="I29" s="90"/>
      <c r="J29" s="90"/>
      <c r="K29" s="72">
        <f>K30+K31</f>
        <v>0</v>
      </c>
      <c r="L29" s="109">
        <f t="shared" si="0"/>
        <v>45.265607167055641</v>
      </c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</row>
    <row r="30" spans="1:31" s="114" customFormat="1" ht="12">
      <c r="A30" s="103"/>
      <c r="B30" s="94">
        <v>85203</v>
      </c>
      <c r="C30" s="91" t="s">
        <v>106</v>
      </c>
      <c r="D30" s="85">
        <v>664150</v>
      </c>
      <c r="E30" s="86">
        <v>300631.53000000003</v>
      </c>
      <c r="F30" s="96">
        <f>zał6!F61</f>
        <v>300631.53000000003</v>
      </c>
      <c r="G30" s="96">
        <f>zał6!G61</f>
        <v>188832.93000000002</v>
      </c>
      <c r="H30" s="86">
        <v>28792.78</v>
      </c>
      <c r="I30" s="86"/>
      <c r="J30" s="86"/>
      <c r="K30" s="87">
        <v>0</v>
      </c>
      <c r="L30" s="112">
        <f t="shared" si="0"/>
        <v>45.265607167055641</v>
      </c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</row>
    <row r="31" spans="1:31" s="114" customFormat="1" ht="24" hidden="1">
      <c r="A31" s="103"/>
      <c r="B31" s="94">
        <v>85216</v>
      </c>
      <c r="C31" s="91" t="s">
        <v>107</v>
      </c>
      <c r="D31" s="85">
        <v>0</v>
      </c>
      <c r="E31" s="86"/>
      <c r="F31" s="86">
        <v>0</v>
      </c>
      <c r="G31" s="86"/>
      <c r="H31" s="86"/>
      <c r="I31" s="86"/>
      <c r="J31" s="86"/>
      <c r="K31" s="87"/>
      <c r="L31" s="109" t="e">
        <f t="shared" si="0"/>
        <v>#DIV/0!</v>
      </c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</row>
    <row r="32" spans="1:31" s="74" customFormat="1" ht="15" customHeight="1">
      <c r="A32" s="77">
        <v>853</v>
      </c>
      <c r="B32" s="77"/>
      <c r="C32" s="88" t="s">
        <v>132</v>
      </c>
      <c r="D32" s="89">
        <f>D33+D34</f>
        <v>88286</v>
      </c>
      <c r="E32" s="90">
        <f>E33+E34</f>
        <v>43982.65</v>
      </c>
      <c r="F32" s="90">
        <f>F33+F34</f>
        <v>43982.65</v>
      </c>
      <c r="G32" s="90">
        <f>G33+G34</f>
        <v>19048.580000000002</v>
      </c>
      <c r="H32" s="90">
        <f>H33</f>
        <v>2897.87</v>
      </c>
      <c r="I32" s="90"/>
      <c r="J32" s="90"/>
      <c r="K32" s="72"/>
      <c r="L32" s="109">
        <f t="shared" si="0"/>
        <v>49.818374374192963</v>
      </c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</row>
    <row r="33" spans="1:31" s="114" customFormat="1" ht="12" customHeight="1">
      <c r="A33" s="813"/>
      <c r="B33" s="82">
        <v>85321</v>
      </c>
      <c r="C33" s="91" t="s">
        <v>133</v>
      </c>
      <c r="D33" s="85">
        <v>73000</v>
      </c>
      <c r="E33" s="86">
        <v>31395.25</v>
      </c>
      <c r="F33" s="86">
        <f>zał6!F68</f>
        <v>31395.25</v>
      </c>
      <c r="G33" s="86">
        <f>zał6!G68</f>
        <v>19048.580000000002</v>
      </c>
      <c r="H33" s="86">
        <v>2897.87</v>
      </c>
      <c r="I33" s="86"/>
      <c r="J33" s="86"/>
      <c r="K33" s="87"/>
      <c r="L33" s="112">
        <f t="shared" si="0"/>
        <v>43.00719178082192</v>
      </c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</row>
    <row r="34" spans="1:31" s="114" customFormat="1" ht="14.25" customHeight="1">
      <c r="A34" s="814"/>
      <c r="B34" s="82">
        <v>85334</v>
      </c>
      <c r="C34" s="99" t="s">
        <v>142</v>
      </c>
      <c r="D34" s="85">
        <v>15286</v>
      </c>
      <c r="E34" s="86">
        <v>12587.4</v>
      </c>
      <c r="F34" s="86">
        <f>zał6!F70</f>
        <v>12587.4</v>
      </c>
      <c r="G34" s="86"/>
      <c r="H34" s="86"/>
      <c r="I34" s="86"/>
      <c r="J34" s="86"/>
      <c r="K34" s="87"/>
      <c r="L34" s="112">
        <f t="shared" si="0"/>
        <v>82.345937459112918</v>
      </c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</row>
    <row r="35" spans="1:31" s="74" customFormat="1" ht="12">
      <c r="A35" s="815" t="s">
        <v>41</v>
      </c>
      <c r="B35" s="816"/>
      <c r="C35" s="817"/>
      <c r="D35" s="71">
        <f>D13+D15+D17+D22+D25+D27+D29+D32</f>
        <v>5983459</v>
      </c>
      <c r="E35" s="72">
        <f>E13+E15+E17+E22+E25+E27+E29+E32</f>
        <v>2865375.5799999996</v>
      </c>
      <c r="F35" s="72">
        <f>F13+F15+F17+F22+F25+F27+F29+F32</f>
        <v>2865375.5799999996</v>
      </c>
      <c r="G35" s="72">
        <f t="shared" ref="G35:K35" si="2">G13+G15+G17+G22+G25+G27+G29+G32</f>
        <v>1442752.3199999998</v>
      </c>
      <c r="H35" s="72">
        <f t="shared" si="2"/>
        <v>59160.36</v>
      </c>
      <c r="I35" s="72">
        <f t="shared" si="2"/>
        <v>0</v>
      </c>
      <c r="J35" s="72">
        <f t="shared" si="2"/>
        <v>0</v>
      </c>
      <c r="K35" s="72">
        <f t="shared" si="2"/>
        <v>0</v>
      </c>
      <c r="L35" s="109">
        <f>(F35+K35)/D35*100</f>
        <v>47.888279672343366</v>
      </c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</row>
  </sheetData>
  <mergeCells count="15">
    <mergeCell ref="D1:L1"/>
    <mergeCell ref="A3:L3"/>
    <mergeCell ref="A4:L4"/>
    <mergeCell ref="A5:L5"/>
    <mergeCell ref="A6:L6"/>
    <mergeCell ref="A33:A34"/>
    <mergeCell ref="A35:C35"/>
    <mergeCell ref="L9:L11"/>
    <mergeCell ref="K10:K11"/>
    <mergeCell ref="F10:F11"/>
    <mergeCell ref="D9:D11"/>
    <mergeCell ref="F9:K9"/>
    <mergeCell ref="A9:A11"/>
    <mergeCell ref="B9:B11"/>
    <mergeCell ref="C9:C11"/>
  </mergeCells>
  <phoneticPr fontId="0" type="noConversion"/>
  <pageMargins left="0.78740157480314965" right="0.19685039370078741" top="0.74803149606299213" bottom="0.78740157480314965" header="0.27559055118110237" footer="0.51181102362204722"/>
  <pageSetup paperSize="9" orientation="landscape" r:id="rId1"/>
  <headerFooter alignWithMargins="0">
    <oddFooter>&amp;C&amp;"Times New (W1),Normalny"Załącznik Nr 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E16"/>
  <sheetViews>
    <sheetView view="pageLayout" topLeftCell="A4" workbookViewId="0">
      <selection activeCell="E29" sqref="E29"/>
    </sheetView>
  </sheetViews>
  <sheetFormatPr defaultRowHeight="12.75"/>
  <cols>
    <col min="1" max="1" width="5" customWidth="1"/>
    <col min="2" max="2" width="6.5703125" customWidth="1"/>
    <col min="3" max="3" width="30.7109375" customWidth="1"/>
    <col min="4" max="5" width="11.5703125" customWidth="1"/>
    <col min="6" max="6" width="12.28515625" customWidth="1"/>
    <col min="7" max="7" width="12.7109375" customWidth="1"/>
    <col min="8" max="8" width="8.42578125" customWidth="1"/>
    <col min="9" max="9" width="11" customWidth="1"/>
    <col min="10" max="10" width="8.28515625" customWidth="1"/>
    <col min="11" max="11" width="8.140625" customWidth="1"/>
  </cols>
  <sheetData>
    <row r="1" spans="1:31">
      <c r="A1" s="47"/>
      <c r="B1" s="47"/>
      <c r="C1" s="47"/>
      <c r="D1" s="47"/>
      <c r="E1" s="47"/>
      <c r="F1" s="47"/>
      <c r="G1" s="47"/>
      <c r="H1" s="47"/>
      <c r="I1" s="787" t="s">
        <v>465</v>
      </c>
      <c r="J1" s="787"/>
      <c r="K1" s="787"/>
      <c r="L1" s="787"/>
    </row>
    <row r="2" spans="1:3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31">
      <c r="A3" s="706" t="s">
        <v>12</v>
      </c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</row>
    <row r="4" spans="1:31">
      <c r="A4" s="706" t="s">
        <v>4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  <c r="L4" s="706"/>
    </row>
    <row r="5" spans="1:31" ht="15.75" customHeight="1">
      <c r="A5" s="807" t="s">
        <v>11</v>
      </c>
      <c r="B5" s="807"/>
      <c r="C5" s="807"/>
      <c r="D5" s="807"/>
      <c r="E5" s="807"/>
      <c r="F5" s="807"/>
      <c r="G5" s="807"/>
      <c r="H5" s="807"/>
      <c r="I5" s="807"/>
      <c r="J5" s="807"/>
      <c r="K5" s="807"/>
      <c r="L5" s="807"/>
    </row>
    <row r="6" spans="1:31">
      <c r="A6" s="706" t="s">
        <v>320</v>
      </c>
      <c r="B6" s="706"/>
      <c r="C6" s="706"/>
      <c r="D6" s="706"/>
      <c r="E6" s="706"/>
      <c r="F6" s="706"/>
      <c r="G6" s="706"/>
      <c r="H6" s="706"/>
      <c r="I6" s="706"/>
      <c r="J6" s="706"/>
      <c r="K6" s="706"/>
      <c r="L6" s="706"/>
    </row>
    <row r="7" spans="1:3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31">
      <c r="A8" s="47" t="s">
        <v>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 t="s">
        <v>166</v>
      </c>
    </row>
    <row r="9" spans="1:31" s="6" customFormat="1" ht="12.75" customHeight="1">
      <c r="A9" s="707" t="s">
        <v>0</v>
      </c>
      <c r="B9" s="707" t="s">
        <v>13</v>
      </c>
      <c r="C9" s="707" t="s">
        <v>1</v>
      </c>
      <c r="D9" s="707" t="s">
        <v>192</v>
      </c>
      <c r="E9" s="115"/>
      <c r="F9" s="808" t="s">
        <v>176</v>
      </c>
      <c r="G9" s="809"/>
      <c r="H9" s="809"/>
      <c r="I9" s="809"/>
      <c r="J9" s="809"/>
      <c r="K9" s="809"/>
      <c r="L9" s="810" t="s">
        <v>141</v>
      </c>
    </row>
    <row r="10" spans="1:31" s="6" customFormat="1" ht="12.75" customHeight="1">
      <c r="A10" s="708"/>
      <c r="B10" s="708"/>
      <c r="C10" s="708"/>
      <c r="D10" s="708"/>
      <c r="E10" s="116" t="s">
        <v>144</v>
      </c>
      <c r="F10" s="702" t="s">
        <v>14</v>
      </c>
      <c r="G10" s="117" t="s">
        <v>15</v>
      </c>
      <c r="H10" s="117"/>
      <c r="I10" s="117"/>
      <c r="J10" s="118"/>
      <c r="K10" s="811" t="s">
        <v>175</v>
      </c>
      <c r="L10" s="810"/>
    </row>
    <row r="11" spans="1:31" s="6" customFormat="1" ht="36" customHeight="1">
      <c r="A11" s="709"/>
      <c r="B11" s="709"/>
      <c r="C11" s="709"/>
      <c r="D11" s="709"/>
      <c r="E11" s="119"/>
      <c r="F11" s="704"/>
      <c r="G11" s="439" t="s">
        <v>362</v>
      </c>
      <c r="H11" s="439" t="s">
        <v>363</v>
      </c>
      <c r="I11" s="439" t="s">
        <v>364</v>
      </c>
      <c r="J11" s="440" t="s">
        <v>16</v>
      </c>
      <c r="K11" s="812"/>
      <c r="L11" s="810"/>
    </row>
    <row r="12" spans="1:31" s="105" customFormat="1" ht="11.25">
      <c r="A12" s="75">
        <v>1</v>
      </c>
      <c r="B12" s="75">
        <v>2</v>
      </c>
      <c r="C12" s="75">
        <v>3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  <c r="K12" s="75">
        <v>11</v>
      </c>
      <c r="L12" s="75">
        <v>12</v>
      </c>
    </row>
    <row r="13" spans="1:31" s="74" customFormat="1" ht="12">
      <c r="A13" s="77">
        <v>750</v>
      </c>
      <c r="B13" s="77"/>
      <c r="C13" s="88" t="s">
        <v>46</v>
      </c>
      <c r="D13" s="89">
        <f>D14</f>
        <v>2000</v>
      </c>
      <c r="E13" s="494">
        <f>E14</f>
        <v>0</v>
      </c>
      <c r="F13" s="494">
        <f>F14</f>
        <v>0</v>
      </c>
      <c r="G13" s="120"/>
      <c r="H13" s="120"/>
      <c r="I13" s="120"/>
      <c r="J13" s="120"/>
      <c r="K13" s="120"/>
      <c r="L13" s="500">
        <f>(F13+K13)/D13*100</f>
        <v>0</v>
      </c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</row>
    <row r="14" spans="1:31" s="114" customFormat="1" ht="12">
      <c r="A14" s="103"/>
      <c r="B14" s="94">
        <v>75045</v>
      </c>
      <c r="C14" s="91" t="s">
        <v>93</v>
      </c>
      <c r="D14" s="97">
        <v>2000</v>
      </c>
      <c r="E14" s="495">
        <v>0</v>
      </c>
      <c r="F14" s="495">
        <v>0</v>
      </c>
      <c r="G14" s="121"/>
      <c r="H14" s="122"/>
      <c r="I14" s="122"/>
      <c r="J14" s="122"/>
      <c r="K14" s="123"/>
      <c r="L14" s="501">
        <f>(F14+K14)/D14*100</f>
        <v>0</v>
      </c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</row>
    <row r="15" spans="1:31" s="74" customFormat="1" ht="12">
      <c r="A15" s="777" t="s">
        <v>41</v>
      </c>
      <c r="B15" s="777"/>
      <c r="C15" s="777"/>
      <c r="D15" s="71">
        <f>D13</f>
        <v>2000</v>
      </c>
      <c r="E15" s="496">
        <f>E13</f>
        <v>0</v>
      </c>
      <c r="F15" s="496">
        <f>F13</f>
        <v>0</v>
      </c>
      <c r="G15" s="124"/>
      <c r="H15" s="124"/>
      <c r="I15" s="124"/>
      <c r="J15" s="124"/>
      <c r="K15" s="124"/>
      <c r="L15" s="500">
        <f>(F15+K15)/D15*100</f>
        <v>0</v>
      </c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</row>
    <row r="16" spans="1:31">
      <c r="G16" s="44"/>
    </row>
  </sheetData>
  <mergeCells count="14">
    <mergeCell ref="I1:L1"/>
    <mergeCell ref="D9:D11"/>
    <mergeCell ref="A3:L3"/>
    <mergeCell ref="A4:L4"/>
    <mergeCell ref="A5:L5"/>
    <mergeCell ref="A6:L6"/>
    <mergeCell ref="A15:C15"/>
    <mergeCell ref="L9:L11"/>
    <mergeCell ref="K10:K11"/>
    <mergeCell ref="F10:F11"/>
    <mergeCell ref="F9:K9"/>
    <mergeCell ref="A9:A11"/>
    <mergeCell ref="B9:B11"/>
    <mergeCell ref="C9:C11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landscape" r:id="rId1"/>
  <headerFooter alignWithMargins="0">
    <oddFooter>&amp;C&amp;"Times New (W1),Normalny"Załącznik Nr 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E19"/>
  <sheetViews>
    <sheetView view="pageLayout" workbookViewId="0">
      <selection activeCell="F31" sqref="F31"/>
    </sheetView>
  </sheetViews>
  <sheetFormatPr defaultRowHeight="12.75"/>
  <cols>
    <col min="1" max="1" width="4.42578125" customWidth="1"/>
    <col min="2" max="2" width="5.7109375" customWidth="1"/>
    <col min="3" max="3" width="35.5703125" customWidth="1"/>
    <col min="4" max="4" width="10" customWidth="1"/>
    <col min="5" max="5" width="11.5703125" customWidth="1"/>
    <col min="6" max="6" width="11.42578125" customWidth="1"/>
    <col min="7" max="7" width="9.140625" customWidth="1"/>
    <col min="8" max="8" width="10.140625" customWidth="1"/>
    <col min="9" max="9" width="11.5703125" customWidth="1"/>
    <col min="10" max="10" width="8.28515625" customWidth="1"/>
    <col min="11" max="12" width="7.5703125" customWidth="1"/>
  </cols>
  <sheetData>
    <row r="1" spans="1:31">
      <c r="A1" s="47"/>
      <c r="B1" s="47"/>
      <c r="C1" s="47"/>
      <c r="D1" s="47"/>
      <c r="E1" s="47"/>
      <c r="F1" s="47"/>
      <c r="G1" s="47"/>
      <c r="H1" s="47"/>
      <c r="I1" s="787" t="s">
        <v>210</v>
      </c>
      <c r="J1" s="787"/>
      <c r="K1" s="787"/>
      <c r="L1" s="787"/>
    </row>
    <row r="2" spans="1:3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31">
      <c r="A3" s="706" t="s">
        <v>12</v>
      </c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</row>
    <row r="4" spans="1:31">
      <c r="A4" s="706" t="s">
        <v>4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  <c r="L4" s="706"/>
    </row>
    <row r="5" spans="1:31" ht="15.75" customHeight="1">
      <c r="A5" s="807" t="s">
        <v>153</v>
      </c>
      <c r="B5" s="807"/>
      <c r="C5" s="807"/>
      <c r="D5" s="807"/>
      <c r="E5" s="807"/>
      <c r="F5" s="807"/>
      <c r="G5" s="807"/>
      <c r="H5" s="807"/>
      <c r="I5" s="807"/>
      <c r="J5" s="807"/>
      <c r="K5" s="807"/>
      <c r="L5" s="807"/>
    </row>
    <row r="6" spans="1:31">
      <c r="A6" s="706" t="s">
        <v>320</v>
      </c>
      <c r="B6" s="706"/>
      <c r="C6" s="706"/>
      <c r="D6" s="706"/>
      <c r="E6" s="706"/>
      <c r="F6" s="706"/>
      <c r="G6" s="706"/>
      <c r="H6" s="706"/>
      <c r="I6" s="706"/>
      <c r="J6" s="706"/>
      <c r="K6" s="706"/>
      <c r="L6" s="706"/>
    </row>
    <row r="7" spans="1:3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31">
      <c r="A8" s="47" t="s">
        <v>7</v>
      </c>
      <c r="B8" s="47"/>
      <c r="C8" s="47"/>
      <c r="D8" s="47"/>
      <c r="E8" s="47"/>
      <c r="F8" s="47"/>
      <c r="G8" s="47"/>
      <c r="H8" s="47"/>
      <c r="I8" s="47"/>
      <c r="J8" s="47"/>
      <c r="K8" s="47" t="s">
        <v>169</v>
      </c>
    </row>
    <row r="9" spans="1:31" s="6" customFormat="1" ht="12.75" customHeight="1">
      <c r="A9" s="707" t="s">
        <v>0</v>
      </c>
      <c r="B9" s="707" t="s">
        <v>13</v>
      </c>
      <c r="C9" s="707" t="s">
        <v>1</v>
      </c>
      <c r="D9" s="707" t="s">
        <v>192</v>
      </c>
      <c r="E9" s="115"/>
      <c r="F9" s="808" t="s">
        <v>176</v>
      </c>
      <c r="G9" s="809"/>
      <c r="H9" s="809"/>
      <c r="I9" s="809"/>
      <c r="J9" s="809"/>
      <c r="K9" s="809"/>
      <c r="L9" s="810" t="s">
        <v>141</v>
      </c>
    </row>
    <row r="10" spans="1:31" s="6" customFormat="1" ht="12.75" customHeight="1">
      <c r="A10" s="708"/>
      <c r="B10" s="708"/>
      <c r="C10" s="708"/>
      <c r="D10" s="708"/>
      <c r="E10" s="116" t="s">
        <v>144</v>
      </c>
      <c r="F10" s="702" t="s">
        <v>14</v>
      </c>
      <c r="G10" s="117" t="s">
        <v>15</v>
      </c>
      <c r="H10" s="117"/>
      <c r="I10" s="117"/>
      <c r="J10" s="118"/>
      <c r="K10" s="811" t="s">
        <v>175</v>
      </c>
      <c r="L10" s="810"/>
    </row>
    <row r="11" spans="1:31" s="6" customFormat="1" ht="36" customHeight="1">
      <c r="A11" s="709"/>
      <c r="B11" s="709"/>
      <c r="C11" s="709"/>
      <c r="D11" s="709"/>
      <c r="E11" s="119"/>
      <c r="F11" s="704"/>
      <c r="G11" s="439" t="s">
        <v>362</v>
      </c>
      <c r="H11" s="439" t="s">
        <v>363</v>
      </c>
      <c r="I11" s="439" t="s">
        <v>364</v>
      </c>
      <c r="J11" s="440" t="s">
        <v>16</v>
      </c>
      <c r="K11" s="812"/>
      <c r="L11" s="810"/>
    </row>
    <row r="12" spans="1:31" s="12" customFormat="1" ht="11.25">
      <c r="A12" s="75">
        <v>1</v>
      </c>
      <c r="B12" s="75">
        <v>2</v>
      </c>
      <c r="C12" s="75">
        <v>3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  <c r="K12" s="75">
        <v>11</v>
      </c>
      <c r="L12" s="75">
        <v>12</v>
      </c>
    </row>
    <row r="13" spans="1:31" ht="13.5" hidden="1" customHeight="1">
      <c r="A13" s="53">
        <v>0</v>
      </c>
      <c r="B13" s="55">
        <v>71095</v>
      </c>
      <c r="C13" s="51" t="s">
        <v>89</v>
      </c>
      <c r="D13" s="52">
        <v>0</v>
      </c>
      <c r="E13" s="52"/>
      <c r="F13" s="52">
        <v>0</v>
      </c>
      <c r="G13" s="52"/>
      <c r="H13" s="52"/>
      <c r="I13" s="52"/>
      <c r="J13" s="52"/>
      <c r="K13" s="56">
        <v>0</v>
      </c>
      <c r="L13" s="49" t="e">
        <f t="shared" ref="L13:L19" si="0">(F13+K13)/D13*100</f>
        <v>#DIV/0!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hidden="1">
      <c r="A14" s="54"/>
      <c r="B14" s="55">
        <v>75414</v>
      </c>
      <c r="C14" s="51" t="s">
        <v>94</v>
      </c>
      <c r="D14" s="52">
        <v>0</v>
      </c>
      <c r="E14" s="52"/>
      <c r="F14" s="52">
        <v>0</v>
      </c>
      <c r="G14" s="52"/>
      <c r="H14" s="52"/>
      <c r="I14" s="52"/>
      <c r="J14" s="52"/>
      <c r="K14" s="56">
        <v>0</v>
      </c>
      <c r="L14" s="49" t="e">
        <f t="shared" si="0"/>
        <v>#DIV/0!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s="74" customFormat="1" ht="13.5" customHeight="1">
      <c r="A15" s="77">
        <v>851</v>
      </c>
      <c r="B15" s="77"/>
      <c r="C15" s="98" t="s">
        <v>49</v>
      </c>
      <c r="D15" s="89">
        <f>D16</f>
        <v>19500</v>
      </c>
      <c r="E15" s="90">
        <f>E16</f>
        <v>5482.92</v>
      </c>
      <c r="F15" s="90">
        <f>F16</f>
        <v>5482.92</v>
      </c>
      <c r="G15" s="90">
        <f>G16</f>
        <v>0</v>
      </c>
      <c r="H15" s="89"/>
      <c r="I15" s="89"/>
      <c r="J15" s="89"/>
      <c r="K15" s="89"/>
      <c r="L15" s="126">
        <f t="shared" si="0"/>
        <v>28.117538461538459</v>
      </c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</row>
    <row r="16" spans="1:31" s="1" customFormat="1" ht="12.75" customHeight="1">
      <c r="A16" s="103"/>
      <c r="B16" s="94">
        <v>85154</v>
      </c>
      <c r="C16" s="99" t="s">
        <v>102</v>
      </c>
      <c r="D16" s="85">
        <v>19500</v>
      </c>
      <c r="E16" s="86">
        <v>5482.92</v>
      </c>
      <c r="F16" s="86">
        <f>zał6!F56</f>
        <v>5482.92</v>
      </c>
      <c r="G16" s="86">
        <f>zał6!G56</f>
        <v>0</v>
      </c>
      <c r="H16" s="85"/>
      <c r="I16" s="85"/>
      <c r="J16" s="85"/>
      <c r="K16" s="125"/>
      <c r="L16" s="127">
        <f t="shared" si="0"/>
        <v>28.117538461538459</v>
      </c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</row>
    <row r="17" spans="1:31" s="74" customFormat="1" ht="12.75" customHeight="1">
      <c r="A17" s="77">
        <v>853</v>
      </c>
      <c r="B17" s="348"/>
      <c r="C17" s="98" t="s">
        <v>51</v>
      </c>
      <c r="D17" s="71">
        <f>D18</f>
        <v>528755</v>
      </c>
      <c r="E17" s="72">
        <f>E18</f>
        <v>528754.43999999994</v>
      </c>
      <c r="F17" s="72">
        <f>F18</f>
        <v>528754.43999999994</v>
      </c>
      <c r="G17" s="72"/>
      <c r="H17" s="71"/>
      <c r="I17" s="496">
        <f>I18</f>
        <v>528754.43999999994</v>
      </c>
      <c r="J17" s="71"/>
      <c r="K17" s="71"/>
      <c r="L17" s="126">
        <f t="shared" si="0"/>
        <v>99.999894090836008</v>
      </c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</row>
    <row r="18" spans="1:31" s="1" customFormat="1" ht="12.75" customHeight="1">
      <c r="A18" s="372"/>
      <c r="B18" s="94">
        <v>85395</v>
      </c>
      <c r="C18" s="99" t="s">
        <v>89</v>
      </c>
      <c r="D18" s="125">
        <f>499357+29398</f>
        <v>528755</v>
      </c>
      <c r="E18" s="87">
        <f>499355.69+29398.75</f>
        <v>528754.43999999994</v>
      </c>
      <c r="F18" s="87">
        <f>E18</f>
        <v>528754.43999999994</v>
      </c>
      <c r="G18" s="87"/>
      <c r="H18" s="125"/>
      <c r="I18" s="499">
        <f>F18</f>
        <v>528754.43999999994</v>
      </c>
      <c r="J18" s="125"/>
      <c r="K18" s="125"/>
      <c r="L18" s="127">
        <f t="shared" si="0"/>
        <v>99.999894090836008</v>
      </c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</row>
    <row r="19" spans="1:31" s="74" customFormat="1" ht="12">
      <c r="A19" s="777" t="s">
        <v>41</v>
      </c>
      <c r="B19" s="777"/>
      <c r="C19" s="777"/>
      <c r="D19" s="71">
        <f>D18+D15</f>
        <v>548255</v>
      </c>
      <c r="E19" s="72">
        <f>E17+E15</f>
        <v>534237.36</v>
      </c>
      <c r="F19" s="72">
        <f t="shared" ref="F19:K19" si="1">F17+F15</f>
        <v>534237.36</v>
      </c>
      <c r="G19" s="72">
        <f t="shared" si="1"/>
        <v>0</v>
      </c>
      <c r="H19" s="72">
        <f t="shared" si="1"/>
        <v>0</v>
      </c>
      <c r="I19" s="72">
        <f t="shared" si="1"/>
        <v>528754.43999999994</v>
      </c>
      <c r="J19" s="72">
        <f t="shared" si="1"/>
        <v>0</v>
      </c>
      <c r="K19" s="72">
        <f t="shared" si="1"/>
        <v>0</v>
      </c>
      <c r="L19" s="126">
        <f t="shared" si="0"/>
        <v>97.443226235966847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</row>
  </sheetData>
  <mergeCells count="14">
    <mergeCell ref="A19:C19"/>
    <mergeCell ref="A3:L3"/>
    <mergeCell ref="A4:L4"/>
    <mergeCell ref="A5:L5"/>
    <mergeCell ref="A6:L6"/>
    <mergeCell ref="L9:L11"/>
    <mergeCell ref="K10:K11"/>
    <mergeCell ref="F10:F11"/>
    <mergeCell ref="A9:A11"/>
    <mergeCell ref="I1:L1"/>
    <mergeCell ref="B9:B11"/>
    <mergeCell ref="C9:C11"/>
    <mergeCell ref="D9:D11"/>
    <mergeCell ref="F9:K9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landscape" r:id="rId1"/>
  <headerFooter alignWithMargins="0">
    <oddFooter>&amp;C&amp;"Times New (W1),Normalny"Załącznik Nr 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G26"/>
  <sheetViews>
    <sheetView view="pageLayout" zoomScaleNormal="115" workbookViewId="0">
      <selection activeCell="C30" sqref="C30"/>
    </sheetView>
  </sheetViews>
  <sheetFormatPr defaultRowHeight="12.75"/>
  <cols>
    <col min="1" max="1" width="6.42578125" customWidth="1"/>
    <col min="2" max="2" width="7" customWidth="1"/>
    <col min="3" max="3" width="35.140625" customWidth="1"/>
    <col min="4" max="5" width="13.140625" customWidth="1"/>
    <col min="6" max="6" width="11" customWidth="1"/>
    <col min="7" max="7" width="6.85546875" customWidth="1"/>
    <col min="8" max="8" width="10" customWidth="1"/>
    <col min="9" max="9" width="13" customWidth="1"/>
    <col min="10" max="10" width="13.7109375" customWidth="1"/>
    <col min="11" max="11" width="13.42578125" customWidth="1"/>
  </cols>
  <sheetData>
    <row r="1" spans="1:7">
      <c r="E1" s="818" t="s">
        <v>466</v>
      </c>
      <c r="F1" s="818"/>
    </row>
    <row r="4" spans="1:7" ht="15.75" customHeight="1">
      <c r="A4" s="819" t="s">
        <v>415</v>
      </c>
      <c r="B4" s="819"/>
      <c r="C4" s="819"/>
      <c r="D4" s="819"/>
      <c r="E4" s="819"/>
      <c r="F4" s="819"/>
      <c r="G4" s="537"/>
    </row>
    <row r="5" spans="1:7" ht="15.75" customHeight="1">
      <c r="A5" s="819" t="s">
        <v>416</v>
      </c>
      <c r="B5" s="819"/>
      <c r="C5" s="819"/>
      <c r="D5" s="819"/>
      <c r="E5" s="819"/>
      <c r="F5" s="819"/>
      <c r="G5" s="537"/>
    </row>
    <row r="6" spans="1:7" ht="15.75" customHeight="1">
      <c r="A6" s="820" t="s">
        <v>430</v>
      </c>
      <c r="B6" s="820"/>
      <c r="C6" s="820"/>
      <c r="D6" s="820"/>
      <c r="E6" s="820"/>
      <c r="F6" s="820"/>
      <c r="G6" s="538"/>
    </row>
    <row r="7" spans="1:7" ht="15.75" customHeight="1">
      <c r="A7" s="820" t="s">
        <v>320</v>
      </c>
      <c r="B7" s="820"/>
      <c r="C7" s="820"/>
      <c r="D7" s="820"/>
      <c r="E7" s="820"/>
      <c r="F7" s="820"/>
      <c r="G7" s="538"/>
    </row>
    <row r="8" spans="1:7">
      <c r="A8" s="374"/>
      <c r="B8" s="374"/>
      <c r="C8" s="374"/>
      <c r="D8" s="373"/>
      <c r="E8" s="373" t="s">
        <v>206</v>
      </c>
      <c r="F8" s="374"/>
    </row>
    <row r="9" spans="1:7">
      <c r="A9" s="799" t="s">
        <v>365</v>
      </c>
      <c r="B9" s="799" t="s">
        <v>78</v>
      </c>
      <c r="C9" s="532" t="s">
        <v>417</v>
      </c>
      <c r="D9" s="799" t="s">
        <v>418</v>
      </c>
      <c r="E9" s="799" t="s">
        <v>144</v>
      </c>
      <c r="F9" s="773" t="s">
        <v>155</v>
      </c>
    </row>
    <row r="10" spans="1:7">
      <c r="A10" s="799"/>
      <c r="B10" s="799"/>
      <c r="C10" s="463" t="s">
        <v>191</v>
      </c>
      <c r="D10" s="799"/>
      <c r="E10" s="799"/>
      <c r="F10" s="773"/>
    </row>
    <row r="11" spans="1:7">
      <c r="A11" s="63">
        <v>1</v>
      </c>
      <c r="B11" s="63">
        <v>2</v>
      </c>
      <c r="C11" s="63">
        <v>3</v>
      </c>
      <c r="D11" s="63">
        <v>4</v>
      </c>
      <c r="E11" s="63">
        <v>5</v>
      </c>
      <c r="F11" s="63">
        <v>6</v>
      </c>
    </row>
    <row r="12" spans="1:7">
      <c r="A12" s="375" t="s">
        <v>419</v>
      </c>
      <c r="B12" s="375" t="s">
        <v>420</v>
      </c>
      <c r="C12" s="533" t="s">
        <v>421</v>
      </c>
      <c r="D12" s="534">
        <v>66131</v>
      </c>
      <c r="E12" s="497">
        <v>66131.039999999994</v>
      </c>
      <c r="F12" s="541">
        <f>E12/D12*100</f>
        <v>100.00006048600505</v>
      </c>
    </row>
    <row r="13" spans="1:7">
      <c r="A13" s="376"/>
      <c r="B13" s="376"/>
      <c r="C13" s="532"/>
      <c r="D13" s="532"/>
      <c r="E13" s="185"/>
      <c r="F13" s="248"/>
    </row>
    <row r="14" spans="1:7">
      <c r="A14" s="375" t="s">
        <v>422</v>
      </c>
      <c r="B14" s="375" t="s">
        <v>420</v>
      </c>
      <c r="C14" s="533" t="s">
        <v>24</v>
      </c>
      <c r="D14" s="535">
        <f>D15</f>
        <v>75000</v>
      </c>
      <c r="E14" s="497">
        <f>E15</f>
        <v>45526.66</v>
      </c>
      <c r="F14" s="541">
        <f>E14/D14*100</f>
        <v>60.702213333333333</v>
      </c>
    </row>
    <row r="15" spans="1:7">
      <c r="A15" s="376" t="s">
        <v>423</v>
      </c>
      <c r="B15" s="536" t="s">
        <v>52</v>
      </c>
      <c r="C15" s="532" t="s">
        <v>53</v>
      </c>
      <c r="D15" s="459">
        <v>75000</v>
      </c>
      <c r="E15" s="185">
        <v>45526.66</v>
      </c>
      <c r="F15" s="542">
        <f>E15/D15*100</f>
        <v>60.702213333333333</v>
      </c>
    </row>
    <row r="16" spans="1:7">
      <c r="A16" s="376"/>
      <c r="B16" s="532"/>
      <c r="C16" s="532"/>
      <c r="D16" s="532"/>
      <c r="E16" s="185"/>
      <c r="F16" s="248"/>
    </row>
    <row r="17" spans="1:6">
      <c r="A17" s="375" t="s">
        <v>424</v>
      </c>
      <c r="B17" s="375" t="s">
        <v>420</v>
      </c>
      <c r="C17" s="533" t="s">
        <v>425</v>
      </c>
      <c r="D17" s="535">
        <f>SUM(D19:D21)</f>
        <v>140926</v>
      </c>
      <c r="E17" s="185">
        <v>0</v>
      </c>
      <c r="F17" s="542">
        <f>E17/D17*100</f>
        <v>0</v>
      </c>
    </row>
    <row r="18" spans="1:6">
      <c r="A18" s="375">
        <v>1</v>
      </c>
      <c r="B18" s="375"/>
      <c r="C18" s="533" t="s">
        <v>14</v>
      </c>
      <c r="D18" s="535">
        <f>D19+D20+D21</f>
        <v>140926</v>
      </c>
      <c r="E18" s="185">
        <v>0</v>
      </c>
      <c r="F18" s="542">
        <f>E18/D18*100</f>
        <v>0</v>
      </c>
    </row>
    <row r="19" spans="1:6" ht="38.25">
      <c r="A19" s="376"/>
      <c r="B19" s="376">
        <v>2440</v>
      </c>
      <c r="C19" s="65" t="s">
        <v>426</v>
      </c>
      <c r="D19" s="459">
        <v>100000</v>
      </c>
      <c r="E19" s="185">
        <v>0</v>
      </c>
      <c r="F19" s="542">
        <f>E19/D19*100</f>
        <v>0</v>
      </c>
    </row>
    <row r="20" spans="1:6">
      <c r="A20" s="376"/>
      <c r="B20" s="376">
        <v>4210</v>
      </c>
      <c r="C20" s="532" t="s">
        <v>227</v>
      </c>
      <c r="D20" s="459">
        <v>8000</v>
      </c>
      <c r="E20" s="185">
        <v>0</v>
      </c>
      <c r="F20" s="542">
        <f>E20/D20*100</f>
        <v>0</v>
      </c>
    </row>
    <row r="21" spans="1:6">
      <c r="A21" s="376"/>
      <c r="B21" s="376">
        <v>4300</v>
      </c>
      <c r="C21" s="532" t="s">
        <v>427</v>
      </c>
      <c r="D21" s="459">
        <v>32926</v>
      </c>
      <c r="E21" s="185">
        <v>0</v>
      </c>
      <c r="F21" s="542">
        <f>E21/D21*100</f>
        <v>0</v>
      </c>
    </row>
    <row r="22" spans="1:6">
      <c r="A22" s="375">
        <v>2</v>
      </c>
      <c r="B22" s="533"/>
      <c r="C22" s="533" t="s">
        <v>175</v>
      </c>
      <c r="D22" s="497">
        <v>0</v>
      </c>
      <c r="E22" s="185">
        <v>0</v>
      </c>
      <c r="F22" s="542"/>
    </row>
    <row r="23" spans="1:6">
      <c r="A23" s="376"/>
      <c r="B23" s="532"/>
      <c r="C23" s="532"/>
      <c r="D23" s="532"/>
      <c r="E23" s="185"/>
      <c r="F23" s="248"/>
    </row>
    <row r="24" spans="1:6">
      <c r="A24" s="375" t="s">
        <v>428</v>
      </c>
      <c r="B24" s="375" t="s">
        <v>420</v>
      </c>
      <c r="C24" s="533" t="s">
        <v>429</v>
      </c>
      <c r="D24" s="534">
        <v>205</v>
      </c>
      <c r="E24" s="497">
        <v>111657.7</v>
      </c>
      <c r="F24" s="541">
        <f>E24/D24*100</f>
        <v>54467.170731707316</v>
      </c>
    </row>
    <row r="25" spans="1:6">
      <c r="A25" s="374"/>
      <c r="B25" s="374"/>
      <c r="C25" s="374"/>
      <c r="D25" s="374"/>
      <c r="E25" s="374"/>
      <c r="F25" s="374"/>
    </row>
    <row r="26" spans="1:6">
      <c r="A26" s="374"/>
      <c r="B26" s="374"/>
      <c r="C26" s="374"/>
      <c r="D26" s="374"/>
      <c r="E26" s="374"/>
      <c r="F26" s="374"/>
    </row>
  </sheetData>
  <mergeCells count="10">
    <mergeCell ref="A9:A10"/>
    <mergeCell ref="B9:B10"/>
    <mergeCell ref="D9:D10"/>
    <mergeCell ref="E9:E10"/>
    <mergeCell ref="F9:F10"/>
    <mergeCell ref="E1:F1"/>
    <mergeCell ref="A4:F4"/>
    <mergeCell ref="A5:F5"/>
    <mergeCell ref="A6:F6"/>
    <mergeCell ref="A7:F7"/>
  </mergeCells>
  <phoneticPr fontId="0" type="noConversion"/>
  <pageMargins left="0.94791666666666663" right="0.4" top="1" bottom="1" header="0.5" footer="0.5"/>
  <pageSetup paperSize="9" orientation="portrait" horizontalDpi="300" verticalDpi="300" r:id="rId1"/>
  <headerFooter alignWithMargins="0">
    <oddFooter>&amp;C&amp;"Times New (W1),Normalny"Załącznik Nr 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F33"/>
  <sheetViews>
    <sheetView view="pageLayout" workbookViewId="0">
      <selection activeCell="C2" sqref="C2"/>
    </sheetView>
  </sheetViews>
  <sheetFormatPr defaultRowHeight="12.75"/>
  <cols>
    <col min="1" max="1" width="7" customWidth="1"/>
    <col min="2" max="2" width="7.42578125" customWidth="1"/>
    <col min="3" max="3" width="36.42578125" customWidth="1"/>
    <col min="4" max="4" width="14.85546875" customWidth="1"/>
    <col min="5" max="5" width="13.140625" customWidth="1"/>
    <col min="6" max="6" width="7.85546875" customWidth="1"/>
  </cols>
  <sheetData>
    <row r="1" spans="1:6">
      <c r="E1" s="818" t="s">
        <v>467</v>
      </c>
      <c r="F1" s="818"/>
    </row>
    <row r="3" spans="1:6" ht="15.75" customHeight="1">
      <c r="A3" s="819" t="s">
        <v>415</v>
      </c>
      <c r="B3" s="819"/>
      <c r="C3" s="819"/>
      <c r="D3" s="819"/>
      <c r="E3" s="819"/>
      <c r="F3" s="819"/>
    </row>
    <row r="4" spans="1:6" ht="15.75" customHeight="1">
      <c r="A4" s="819" t="s">
        <v>431</v>
      </c>
      <c r="B4" s="819"/>
      <c r="C4" s="819"/>
      <c r="D4" s="819"/>
      <c r="E4" s="819"/>
      <c r="F4" s="819"/>
    </row>
    <row r="5" spans="1:6" ht="15.75" customHeight="1">
      <c r="A5" s="820" t="s">
        <v>430</v>
      </c>
      <c r="B5" s="820"/>
      <c r="C5" s="820"/>
      <c r="D5" s="820"/>
      <c r="E5" s="820"/>
      <c r="F5" s="820"/>
    </row>
    <row r="6" spans="1:6" ht="15.75" customHeight="1">
      <c r="A6" s="820" t="s">
        <v>320</v>
      </c>
      <c r="B6" s="820"/>
      <c r="C6" s="820"/>
      <c r="D6" s="820"/>
      <c r="E6" s="820"/>
      <c r="F6" s="820"/>
    </row>
    <row r="7" spans="1:6">
      <c r="A7" s="374"/>
      <c r="B7" s="374"/>
      <c r="C7" s="374"/>
      <c r="E7" s="373" t="s">
        <v>206</v>
      </c>
    </row>
    <row r="8" spans="1:6">
      <c r="A8" s="799" t="s">
        <v>365</v>
      </c>
      <c r="B8" s="799" t="s">
        <v>78</v>
      </c>
      <c r="C8" s="532" t="s">
        <v>432</v>
      </c>
      <c r="D8" s="799" t="s">
        <v>418</v>
      </c>
      <c r="E8" s="799" t="s">
        <v>144</v>
      </c>
      <c r="F8" s="773" t="s">
        <v>155</v>
      </c>
    </row>
    <row r="9" spans="1:6">
      <c r="A9" s="799"/>
      <c r="B9" s="799"/>
      <c r="C9" s="463" t="s">
        <v>433</v>
      </c>
      <c r="D9" s="799"/>
      <c r="E9" s="799"/>
      <c r="F9" s="773"/>
    </row>
    <row r="10" spans="1:6">
      <c r="A10" s="63">
        <v>1</v>
      </c>
      <c r="B10" s="63">
        <v>3</v>
      </c>
      <c r="C10" s="63">
        <v>2</v>
      </c>
      <c r="D10" s="63">
        <v>4</v>
      </c>
      <c r="E10" s="63">
        <v>5</v>
      </c>
      <c r="F10" s="63">
        <v>6</v>
      </c>
    </row>
    <row r="11" spans="1:6">
      <c r="A11" s="375" t="s">
        <v>419</v>
      </c>
      <c r="B11" s="375" t="s">
        <v>420</v>
      </c>
      <c r="C11" s="533" t="s">
        <v>421</v>
      </c>
      <c r="D11" s="534">
        <v>115600</v>
      </c>
      <c r="E11" s="497">
        <v>115599.66</v>
      </c>
      <c r="F11" s="541">
        <f>E11/D11*100</f>
        <v>99.999705882352941</v>
      </c>
    </row>
    <row r="12" spans="1:6">
      <c r="A12" s="376"/>
      <c r="B12" s="376"/>
      <c r="C12" s="532"/>
      <c r="D12" s="532"/>
      <c r="E12" s="185"/>
      <c r="F12" s="248"/>
    </row>
    <row r="13" spans="1:6">
      <c r="A13" s="375" t="s">
        <v>422</v>
      </c>
      <c r="B13" s="375" t="s">
        <v>420</v>
      </c>
      <c r="C13" s="533" t="s">
        <v>24</v>
      </c>
      <c r="D13" s="535">
        <f>D15+D16+D17</f>
        <v>477500</v>
      </c>
      <c r="E13" s="497">
        <f>E14+E15+E16+E17</f>
        <v>246191.99</v>
      </c>
      <c r="F13" s="541">
        <f>E13/D13*100</f>
        <v>51.558531937172766</v>
      </c>
    </row>
    <row r="14" spans="1:6">
      <c r="A14" s="375"/>
      <c r="B14" s="544" t="s">
        <v>52</v>
      </c>
      <c r="C14" s="533"/>
      <c r="D14" s="535"/>
      <c r="E14" s="185">
        <v>61.6</v>
      </c>
      <c r="F14" s="542"/>
    </row>
    <row r="15" spans="1:6">
      <c r="A15" s="376" t="s">
        <v>423</v>
      </c>
      <c r="B15" s="536" t="s">
        <v>70</v>
      </c>
      <c r="C15" s="532" t="s">
        <v>72</v>
      </c>
      <c r="D15" s="459">
        <v>400000</v>
      </c>
      <c r="E15" s="185">
        <v>203183.18</v>
      </c>
      <c r="F15" s="542">
        <f>E15/D15*100</f>
        <v>50.795794999999998</v>
      </c>
    </row>
    <row r="16" spans="1:6">
      <c r="A16" s="376" t="s">
        <v>434</v>
      </c>
      <c r="B16" s="536" t="s">
        <v>64</v>
      </c>
      <c r="C16" s="532" t="s">
        <v>74</v>
      </c>
      <c r="D16" s="459">
        <v>7500</v>
      </c>
      <c r="E16" s="185">
        <v>2947.21</v>
      </c>
      <c r="F16" s="542">
        <f>E16/D16*100</f>
        <v>39.29613333333333</v>
      </c>
    </row>
    <row r="17" spans="1:6">
      <c r="A17" s="376" t="s">
        <v>435</v>
      </c>
      <c r="B17" s="376">
        <v>2960</v>
      </c>
      <c r="C17" s="532" t="s">
        <v>436</v>
      </c>
      <c r="D17" s="459">
        <v>70000</v>
      </c>
      <c r="E17" s="185">
        <v>40000</v>
      </c>
      <c r="F17" s="542">
        <f>E17/D17*100</f>
        <v>57.142857142857139</v>
      </c>
    </row>
    <row r="18" spans="1:6">
      <c r="A18" s="376"/>
      <c r="B18" s="532"/>
      <c r="C18" s="532"/>
      <c r="D18" s="532"/>
      <c r="E18" s="185"/>
      <c r="F18" s="542"/>
    </row>
    <row r="19" spans="1:6">
      <c r="A19" s="375" t="s">
        <v>424</v>
      </c>
      <c r="B19" s="375" t="s">
        <v>420</v>
      </c>
      <c r="C19" s="533" t="s">
        <v>425</v>
      </c>
      <c r="D19" s="535">
        <f>SUM(D21:D30)</f>
        <v>523200</v>
      </c>
      <c r="E19" s="497">
        <f>E20</f>
        <v>179258.56999999998</v>
      </c>
      <c r="F19" s="541">
        <f t="shared" ref="F19:F30" si="0">E19/D19*100</f>
        <v>34.261959097859325</v>
      </c>
    </row>
    <row r="20" spans="1:6">
      <c r="A20" s="375">
        <v>1</v>
      </c>
      <c r="B20" s="375"/>
      <c r="C20" s="533" t="s">
        <v>14</v>
      </c>
      <c r="D20" s="535">
        <f>SUM(D21:D30)</f>
        <v>523200</v>
      </c>
      <c r="E20" s="497">
        <f>SUM(E21:E30)</f>
        <v>179258.56999999998</v>
      </c>
      <c r="F20" s="541">
        <f t="shared" si="0"/>
        <v>34.261959097859325</v>
      </c>
    </row>
    <row r="21" spans="1:6" ht="38.25">
      <c r="A21" s="376"/>
      <c r="B21" s="376">
        <v>2440</v>
      </c>
      <c r="C21" s="65" t="s">
        <v>437</v>
      </c>
      <c r="D21" s="543">
        <v>170000</v>
      </c>
      <c r="E21" s="185">
        <v>95420.3</v>
      </c>
      <c r="F21" s="542">
        <f t="shared" si="0"/>
        <v>56.129588235294115</v>
      </c>
    </row>
    <row r="22" spans="1:6">
      <c r="A22" s="376"/>
      <c r="B22" s="376">
        <v>2960</v>
      </c>
      <c r="C22" s="65" t="s">
        <v>436</v>
      </c>
      <c r="D22" s="459">
        <v>80000</v>
      </c>
      <c r="E22" s="185">
        <v>41884</v>
      </c>
      <c r="F22" s="542">
        <f t="shared" si="0"/>
        <v>52.354999999999997</v>
      </c>
    </row>
    <row r="23" spans="1:6">
      <c r="A23" s="376"/>
      <c r="B23" s="376">
        <v>4170</v>
      </c>
      <c r="C23" s="65" t="s">
        <v>226</v>
      </c>
      <c r="D23" s="459">
        <v>13000</v>
      </c>
      <c r="E23" s="185">
        <v>6053.15</v>
      </c>
      <c r="F23" s="542">
        <f t="shared" si="0"/>
        <v>46.562692307692302</v>
      </c>
    </row>
    <row r="24" spans="1:6">
      <c r="A24" s="376"/>
      <c r="B24" s="376">
        <v>4210</v>
      </c>
      <c r="C24" s="65" t="s">
        <v>227</v>
      </c>
      <c r="D24" s="459">
        <v>5000</v>
      </c>
      <c r="E24" s="185">
        <v>2</v>
      </c>
      <c r="F24" s="542">
        <f t="shared" si="0"/>
        <v>0.04</v>
      </c>
    </row>
    <row r="25" spans="1:6">
      <c r="A25" s="376"/>
      <c r="B25" s="376">
        <v>4270</v>
      </c>
      <c r="C25" s="65" t="s">
        <v>229</v>
      </c>
      <c r="D25" s="459">
        <v>5000</v>
      </c>
      <c r="E25" s="187">
        <v>1148.02</v>
      </c>
      <c r="F25" s="542">
        <f t="shared" si="0"/>
        <v>22.9604</v>
      </c>
    </row>
    <row r="26" spans="1:6">
      <c r="A26" s="376"/>
      <c r="B26" s="376">
        <v>4300</v>
      </c>
      <c r="C26" s="65" t="s">
        <v>216</v>
      </c>
      <c r="D26" s="459">
        <v>220000</v>
      </c>
      <c r="E26" s="187">
        <f>26122.46+40</f>
        <v>26162.46</v>
      </c>
      <c r="F26" s="542">
        <f t="shared" si="0"/>
        <v>11.892027272727272</v>
      </c>
    </row>
    <row r="27" spans="1:6">
      <c r="A27" s="376"/>
      <c r="B27" s="376">
        <v>4510</v>
      </c>
      <c r="C27" s="65" t="s">
        <v>245</v>
      </c>
      <c r="D27" s="459">
        <v>200</v>
      </c>
      <c r="E27" s="539"/>
      <c r="F27" s="541">
        <f t="shared" si="0"/>
        <v>0</v>
      </c>
    </row>
    <row r="28" spans="1:6" ht="25.5">
      <c r="A28" s="376"/>
      <c r="B28" s="376">
        <v>4700</v>
      </c>
      <c r="C28" s="65" t="s">
        <v>239</v>
      </c>
      <c r="D28" s="459">
        <v>8000</v>
      </c>
      <c r="E28" s="187">
        <v>700</v>
      </c>
      <c r="F28" s="542">
        <f t="shared" si="0"/>
        <v>8.75</v>
      </c>
    </row>
    <row r="29" spans="1:6" ht="25.5">
      <c r="A29" s="376"/>
      <c r="B29" s="376">
        <v>4740</v>
      </c>
      <c r="C29" s="65" t="s">
        <v>438</v>
      </c>
      <c r="D29" s="459">
        <v>13000</v>
      </c>
      <c r="E29" s="187">
        <v>4705.92</v>
      </c>
      <c r="F29" s="542">
        <f t="shared" si="0"/>
        <v>36.199384615384616</v>
      </c>
    </row>
    <row r="30" spans="1:6" ht="25.5">
      <c r="A30" s="376"/>
      <c r="B30" s="376">
        <v>4750</v>
      </c>
      <c r="C30" s="65" t="s">
        <v>439</v>
      </c>
      <c r="D30" s="459">
        <v>9000</v>
      </c>
      <c r="E30" s="187">
        <v>3182.72</v>
      </c>
      <c r="F30" s="542">
        <f t="shared" si="0"/>
        <v>35.363555555555557</v>
      </c>
    </row>
    <row r="31" spans="1:6">
      <c r="A31" s="375">
        <v>2</v>
      </c>
      <c r="B31" s="533"/>
      <c r="C31" s="533" t="s">
        <v>175</v>
      </c>
      <c r="D31" s="497">
        <v>0</v>
      </c>
      <c r="E31" s="540">
        <v>0</v>
      </c>
      <c r="F31" s="540">
        <v>0</v>
      </c>
    </row>
    <row r="32" spans="1:6">
      <c r="A32" s="376"/>
      <c r="B32" s="532"/>
      <c r="C32" s="532"/>
      <c r="D32" s="532"/>
      <c r="E32" s="539"/>
      <c r="F32" s="539"/>
    </row>
    <row r="33" spans="1:6">
      <c r="A33" s="375" t="s">
        <v>428</v>
      </c>
      <c r="B33" s="375" t="s">
        <v>420</v>
      </c>
      <c r="C33" s="533" t="s">
        <v>429</v>
      </c>
      <c r="D33" s="534">
        <v>69900</v>
      </c>
      <c r="E33" s="545">
        <v>182533.08</v>
      </c>
      <c r="F33" s="541">
        <f>E33/D33*100</f>
        <v>261.13459227467808</v>
      </c>
    </row>
  </sheetData>
  <mergeCells count="10">
    <mergeCell ref="E8:E9"/>
    <mergeCell ref="F8:F9"/>
    <mergeCell ref="A8:A9"/>
    <mergeCell ref="B8:B9"/>
    <mergeCell ref="D8:D9"/>
    <mergeCell ref="E1:F1"/>
    <mergeCell ref="A3:F3"/>
    <mergeCell ref="A4:F4"/>
    <mergeCell ref="A5:F5"/>
    <mergeCell ref="A6:F6"/>
  </mergeCells>
  <pageMargins left="0.8125" right="0.7" top="0.75" bottom="0.75" header="0.3" footer="0.3"/>
  <pageSetup paperSize="9" orientation="portrait" r:id="rId1"/>
  <headerFooter>
    <oddFooter>&amp;C&amp;"Times New (W1),Normalny"Załącznik Nr 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16"/>
  <sheetViews>
    <sheetView view="pageLayout" workbookViewId="0">
      <selection activeCell="D19" sqref="D19"/>
    </sheetView>
  </sheetViews>
  <sheetFormatPr defaultRowHeight="12.75"/>
  <cols>
    <col min="1" max="1" width="5.140625" customWidth="1"/>
    <col min="2" max="2" width="6.7109375" customWidth="1"/>
    <col min="3" max="3" width="16" customWidth="1"/>
    <col min="4" max="4" width="24.28515625" customWidth="1"/>
    <col min="5" max="5" width="19.140625" customWidth="1"/>
    <col min="6" max="6" width="10.85546875" customWidth="1"/>
    <col min="7" max="7" width="11.140625" customWidth="1"/>
    <col min="8" max="8" width="13.140625" customWidth="1"/>
    <col min="9" max="9" width="12.42578125" customWidth="1"/>
    <col min="10" max="10" width="13.42578125" customWidth="1"/>
  </cols>
  <sheetData>
    <row r="1" spans="1:10">
      <c r="A1" s="47"/>
      <c r="B1" s="47"/>
      <c r="C1" s="47"/>
      <c r="D1" s="787" t="s">
        <v>468</v>
      </c>
      <c r="E1" s="787"/>
      <c r="F1" s="787"/>
      <c r="G1" s="787"/>
      <c r="H1" s="787"/>
      <c r="I1" s="787"/>
      <c r="J1" s="787"/>
    </row>
    <row r="2" spans="1:10">
      <c r="A2" s="47"/>
      <c r="B2" s="47"/>
      <c r="C2" s="47"/>
      <c r="D2" s="47"/>
      <c r="E2" s="47"/>
      <c r="F2" s="47"/>
      <c r="G2" s="47"/>
      <c r="H2" s="47"/>
      <c r="I2" s="47"/>
      <c r="J2" s="47"/>
    </row>
    <row r="3" spans="1:10">
      <c r="A3" s="47"/>
      <c r="B3" s="47"/>
      <c r="C3" s="47"/>
      <c r="D3" s="47"/>
      <c r="E3" s="47"/>
      <c r="F3" s="47"/>
      <c r="G3" s="47"/>
      <c r="H3" s="47"/>
      <c r="I3" s="47"/>
      <c r="J3" s="47"/>
    </row>
    <row r="4" spans="1:10">
      <c r="A4" s="47"/>
      <c r="B4" s="47"/>
      <c r="C4" s="47"/>
      <c r="D4" s="47"/>
      <c r="E4" s="47"/>
      <c r="F4" s="47"/>
      <c r="G4" s="47"/>
      <c r="H4" s="47"/>
      <c r="I4" s="47"/>
      <c r="J4" s="47"/>
    </row>
    <row r="5" spans="1:10">
      <c r="A5" s="47"/>
      <c r="B5" s="47"/>
      <c r="C5" s="47"/>
      <c r="D5" s="47"/>
      <c r="E5" s="47"/>
      <c r="F5" s="47"/>
      <c r="G5" s="47"/>
      <c r="H5" s="47"/>
      <c r="I5" s="47"/>
      <c r="J5" s="47"/>
    </row>
    <row r="6" spans="1:10" ht="15.75">
      <c r="A6" s="823" t="s">
        <v>22</v>
      </c>
      <c r="B6" s="823"/>
      <c r="C6" s="823"/>
      <c r="D6" s="823"/>
      <c r="E6" s="823"/>
      <c r="F6" s="823"/>
      <c r="G6" s="823"/>
      <c r="H6" s="823"/>
      <c r="I6" s="823"/>
      <c r="J6" s="823"/>
    </row>
    <row r="7" spans="1:10" ht="15.75">
      <c r="A7" s="823" t="s">
        <v>23</v>
      </c>
      <c r="B7" s="823"/>
      <c r="C7" s="823"/>
      <c r="D7" s="823"/>
      <c r="E7" s="823"/>
      <c r="F7" s="823"/>
      <c r="G7" s="823"/>
      <c r="H7" s="823"/>
      <c r="I7" s="823"/>
      <c r="J7" s="823"/>
    </row>
    <row r="8" spans="1:10" ht="15.75">
      <c r="A8" s="824" t="s">
        <v>4</v>
      </c>
      <c r="B8" s="824"/>
      <c r="C8" s="824"/>
      <c r="D8" s="824"/>
      <c r="E8" s="824"/>
      <c r="F8" s="824"/>
      <c r="G8" s="824"/>
      <c r="H8" s="824"/>
      <c r="I8" s="824"/>
      <c r="J8" s="824"/>
    </row>
    <row r="9" spans="1:10" ht="13.5" customHeight="1">
      <c r="A9" s="823" t="s">
        <v>320</v>
      </c>
      <c r="B9" s="823"/>
      <c r="C9" s="823"/>
      <c r="D9" s="823"/>
      <c r="E9" s="823"/>
      <c r="F9" s="823"/>
      <c r="G9" s="823"/>
      <c r="H9" s="823"/>
      <c r="I9" s="823"/>
      <c r="J9" s="823"/>
    </row>
    <row r="10" spans="1:10">
      <c r="A10" s="47"/>
      <c r="B10" s="47"/>
      <c r="C10" s="47"/>
      <c r="D10" s="47"/>
      <c r="E10" s="47"/>
      <c r="F10" s="47"/>
      <c r="G10" s="47"/>
      <c r="H10" s="47"/>
      <c r="I10" s="47"/>
      <c r="J10" s="47" t="s">
        <v>170</v>
      </c>
    </row>
    <row r="11" spans="1:10" s="6" customFormat="1" ht="35.25" customHeight="1">
      <c r="A11" s="821" t="s">
        <v>0</v>
      </c>
      <c r="B11" s="821" t="s">
        <v>13</v>
      </c>
      <c r="C11" s="821" t="s">
        <v>1</v>
      </c>
      <c r="D11" s="821" t="s">
        <v>17</v>
      </c>
      <c r="E11" s="821" t="s">
        <v>18</v>
      </c>
      <c r="F11" s="822" t="s">
        <v>19</v>
      </c>
      <c r="G11" s="822"/>
      <c r="H11" s="821" t="s">
        <v>412</v>
      </c>
      <c r="I11" s="821" t="s">
        <v>328</v>
      </c>
      <c r="J11" s="821"/>
    </row>
    <row r="12" spans="1:10" s="6" customFormat="1" ht="36" customHeight="1">
      <c r="A12" s="821"/>
      <c r="B12" s="821"/>
      <c r="C12" s="821"/>
      <c r="D12" s="821"/>
      <c r="E12" s="821"/>
      <c r="F12" s="57" t="s">
        <v>20</v>
      </c>
      <c r="G12" s="57" t="s">
        <v>21</v>
      </c>
      <c r="H12" s="821"/>
      <c r="I12" s="50" t="s">
        <v>154</v>
      </c>
      <c r="J12" s="50" t="s">
        <v>144</v>
      </c>
    </row>
    <row r="13" spans="1:10" s="2" customFormat="1">
      <c r="A13" s="48">
        <v>1</v>
      </c>
      <c r="B13" s="48">
        <v>2</v>
      </c>
      <c r="C13" s="48">
        <v>3</v>
      </c>
      <c r="D13" s="48">
        <v>4</v>
      </c>
      <c r="E13" s="48">
        <v>5</v>
      </c>
      <c r="F13" s="48">
        <v>6</v>
      </c>
      <c r="G13" s="48">
        <v>7</v>
      </c>
      <c r="H13" s="48">
        <v>8</v>
      </c>
      <c r="I13" s="48">
        <v>9</v>
      </c>
      <c r="J13" s="48">
        <v>10</v>
      </c>
    </row>
    <row r="14" spans="1:10" s="2" customFormat="1" ht="89.25">
      <c r="A14" s="321">
        <v>851</v>
      </c>
      <c r="B14" s="321">
        <v>85111</v>
      </c>
      <c r="C14" s="322" t="s">
        <v>101</v>
      </c>
      <c r="D14" s="322" t="s">
        <v>327</v>
      </c>
      <c r="E14" s="322" t="s">
        <v>307</v>
      </c>
      <c r="F14" s="321">
        <v>1994</v>
      </c>
      <c r="G14" s="321">
        <v>2008</v>
      </c>
      <c r="H14" s="323">
        <v>93274915</v>
      </c>
      <c r="I14" s="324">
        <v>590000</v>
      </c>
      <c r="J14" s="69">
        <v>11025.07</v>
      </c>
    </row>
    <row r="15" spans="1:10">
      <c r="A15" s="38"/>
      <c r="B15" s="38"/>
      <c r="C15" s="38"/>
      <c r="D15" s="38"/>
      <c r="E15" s="38"/>
      <c r="F15" s="38"/>
      <c r="G15" s="38"/>
      <c r="H15" s="38"/>
      <c r="I15" s="38"/>
      <c r="J15" s="38"/>
    </row>
    <row r="16" spans="1:10">
      <c r="A16" s="39"/>
      <c r="B16" s="40"/>
      <c r="C16" s="40"/>
      <c r="D16" s="40"/>
      <c r="E16" s="40"/>
      <c r="F16" s="40"/>
      <c r="G16" s="40"/>
      <c r="H16" s="40"/>
      <c r="I16" s="40"/>
      <c r="J16" s="40"/>
    </row>
  </sheetData>
  <mergeCells count="13">
    <mergeCell ref="A11:A12"/>
    <mergeCell ref="F11:G11"/>
    <mergeCell ref="E11:E12"/>
    <mergeCell ref="D1:J1"/>
    <mergeCell ref="A7:J7"/>
    <mergeCell ref="A8:J8"/>
    <mergeCell ref="A6:J6"/>
    <mergeCell ref="A9:J9"/>
    <mergeCell ref="H11:H12"/>
    <mergeCell ref="I11:J11"/>
    <mergeCell ref="D11:D12"/>
    <mergeCell ref="C11:C12"/>
    <mergeCell ref="B11:B12"/>
  </mergeCells>
  <phoneticPr fontId="0" type="noConversion"/>
  <pageMargins left="0.75" right="0.75" top="1" bottom="1" header="0.5" footer="0.5"/>
  <pageSetup paperSize="9" orientation="landscape" r:id="rId1"/>
  <headerFooter alignWithMargins="0">
    <oddFooter>&amp;C&amp;"Times New (W1),Normalny"Załącznik  Nr 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56"/>
  <sheetViews>
    <sheetView view="pageLayout" topLeftCell="A62" workbookViewId="0">
      <selection activeCell="J86" sqref="J86:J90"/>
    </sheetView>
  </sheetViews>
  <sheetFormatPr defaultRowHeight="12.75"/>
  <cols>
    <col min="1" max="1" width="15.140625" customWidth="1"/>
    <col min="2" max="2" width="19.42578125" customWidth="1"/>
    <col min="3" max="3" width="18.140625" customWidth="1"/>
    <col min="4" max="5" width="2.140625" customWidth="1"/>
    <col min="6" max="9" width="5.7109375" customWidth="1"/>
    <col min="10" max="10" width="60.42578125" customWidth="1"/>
    <col min="11" max="11" width="2.28515625" customWidth="1"/>
    <col min="16" max="16" width="5.140625" customWidth="1"/>
    <col min="17" max="17" width="9.140625" hidden="1" customWidth="1"/>
  </cols>
  <sheetData>
    <row r="2" spans="1:3">
      <c r="B2" t="s">
        <v>154</v>
      </c>
      <c r="C2" t="s">
        <v>144</v>
      </c>
    </row>
    <row r="3" spans="1:3">
      <c r="A3" s="41" t="s">
        <v>28</v>
      </c>
      <c r="B3" s="35">
        <v>900900</v>
      </c>
      <c r="C3" s="43">
        <v>860280.29</v>
      </c>
    </row>
    <row r="4" spans="1:3">
      <c r="A4" s="41" t="s">
        <v>29</v>
      </c>
      <c r="B4" s="30">
        <v>247000</v>
      </c>
      <c r="C4" s="44">
        <v>119746.74</v>
      </c>
    </row>
    <row r="5" spans="1:3">
      <c r="A5" s="41" t="s">
        <v>452</v>
      </c>
      <c r="B5" s="30">
        <v>63375</v>
      </c>
      <c r="C5" s="44">
        <v>14607.2</v>
      </c>
    </row>
    <row r="6" spans="1:3">
      <c r="A6" s="41">
        <v>600</v>
      </c>
      <c r="B6" s="30">
        <v>114300</v>
      </c>
      <c r="C6" s="44">
        <v>17127.080000000002</v>
      </c>
    </row>
    <row r="7" spans="1:3">
      <c r="A7" s="41" t="s">
        <v>158</v>
      </c>
      <c r="B7" s="30">
        <v>1347686</v>
      </c>
      <c r="C7" s="44">
        <v>918777.87</v>
      </c>
    </row>
    <row r="8" spans="1:3">
      <c r="A8" s="41" t="s">
        <v>159</v>
      </c>
      <c r="B8" s="30">
        <v>341600</v>
      </c>
      <c r="C8" s="44">
        <v>183871.28</v>
      </c>
    </row>
    <row r="9" spans="1:3">
      <c r="A9" s="41" t="s">
        <v>160</v>
      </c>
      <c r="B9" s="30">
        <v>310920</v>
      </c>
      <c r="C9" s="44">
        <v>189739.43</v>
      </c>
    </row>
    <row r="10" spans="1:3">
      <c r="A10" s="2">
        <v>754</v>
      </c>
      <c r="B10" s="30">
        <v>2692212</v>
      </c>
      <c r="C10" s="44">
        <v>1654329.05</v>
      </c>
    </row>
    <row r="11" spans="1:3">
      <c r="A11" s="2">
        <v>756</v>
      </c>
      <c r="B11" s="30">
        <v>5143439</v>
      </c>
      <c r="C11" s="44">
        <v>2628453.0099999998</v>
      </c>
    </row>
    <row r="12" spans="1:3">
      <c r="A12" s="2">
        <v>758</v>
      </c>
      <c r="B12" s="30">
        <v>21136201</v>
      </c>
      <c r="C12" s="44">
        <v>12379549.710000001</v>
      </c>
    </row>
    <row r="13" spans="1:3">
      <c r="A13" s="2">
        <v>801</v>
      </c>
      <c r="B13" s="30">
        <v>160937</v>
      </c>
      <c r="C13" s="44">
        <v>148360.23000000001</v>
      </c>
    </row>
    <row r="14" spans="1:3">
      <c r="A14" s="2">
        <v>851</v>
      </c>
      <c r="B14" s="30">
        <v>1955500</v>
      </c>
      <c r="C14" s="44">
        <v>1005796</v>
      </c>
    </row>
    <row r="15" spans="1:3">
      <c r="A15" s="2">
        <v>852</v>
      </c>
      <c r="B15" s="30">
        <v>4027391</v>
      </c>
      <c r="C15" s="44">
        <v>2100167.12</v>
      </c>
    </row>
    <row r="16" spans="1:3">
      <c r="A16" s="2">
        <v>853</v>
      </c>
      <c r="B16" s="30">
        <v>1590449</v>
      </c>
      <c r="C16" s="44">
        <v>1194593.6200000001</v>
      </c>
    </row>
    <row r="17" spans="1:3">
      <c r="A17" s="481">
        <v>854</v>
      </c>
      <c r="B17" s="30">
        <v>227642</v>
      </c>
      <c r="C17" s="44">
        <v>146008.10999999999</v>
      </c>
    </row>
    <row r="18" spans="1:3">
      <c r="A18" s="2">
        <v>926</v>
      </c>
      <c r="B18" s="30">
        <v>150000</v>
      </c>
      <c r="C18" s="44">
        <v>150000</v>
      </c>
    </row>
    <row r="19" spans="1:3">
      <c r="A19" s="2"/>
      <c r="C19" s="30"/>
    </row>
    <row r="42" spans="1:10" ht="26.25" customHeight="1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idden="1">
      <c r="A43" s="730">
        <v>7</v>
      </c>
      <c r="B43" s="730"/>
      <c r="C43" s="730"/>
      <c r="D43" s="730"/>
      <c r="E43" s="730"/>
      <c r="F43" s="730"/>
      <c r="G43" s="730"/>
      <c r="H43" s="730"/>
      <c r="I43" s="730"/>
      <c r="J43" s="730"/>
    </row>
    <row r="44" spans="1:10" ht="9.75" hidden="1" customHeight="1">
      <c r="A44" s="730"/>
      <c r="B44" s="730"/>
      <c r="C44" s="730"/>
      <c r="D44" s="730"/>
      <c r="E44" s="730"/>
      <c r="F44" s="730"/>
      <c r="G44" s="730"/>
      <c r="H44" s="730"/>
      <c r="I44" s="730"/>
      <c r="J44" s="730"/>
    </row>
    <row r="45" spans="1:10" hidden="1">
      <c r="A45" s="730"/>
      <c r="B45" s="730"/>
      <c r="C45" s="730"/>
      <c r="D45" s="730"/>
      <c r="E45" s="730"/>
      <c r="F45" s="730"/>
      <c r="G45" s="730"/>
      <c r="H45" s="730"/>
      <c r="I45" s="730"/>
      <c r="J45" s="730"/>
    </row>
    <row r="46" spans="1:10" hidden="1">
      <c r="A46" s="730"/>
      <c r="B46" s="730"/>
      <c r="C46" s="730"/>
      <c r="D46" s="730"/>
      <c r="E46" s="730"/>
      <c r="F46" s="730"/>
      <c r="G46" s="730"/>
      <c r="H46" s="730"/>
      <c r="I46" s="730"/>
      <c r="J46" s="730"/>
    </row>
    <row r="56" spans="1:10" ht="35.25" customHeight="1">
      <c r="A56" s="730"/>
      <c r="B56" s="730"/>
      <c r="C56" s="730"/>
      <c r="D56" s="730"/>
      <c r="E56" s="730"/>
      <c r="F56" s="730"/>
      <c r="G56" s="730"/>
      <c r="H56" s="730"/>
      <c r="I56" s="730"/>
      <c r="J56" s="730"/>
    </row>
  </sheetData>
  <mergeCells count="2">
    <mergeCell ref="A43:J46"/>
    <mergeCell ref="A56:J56"/>
  </mergeCells>
  <phoneticPr fontId="0" type="noConversion"/>
  <pageMargins left="0.82677165354330717" right="0.62992125984251968" top="0.98425196850393704" bottom="0.98425196850393704" header="0.51181102362204722" footer="0.51181102362204722"/>
  <pageSetup paperSize="9" scale="63" orientation="portrait" r:id="rId1"/>
  <headerFooter alignWithMargins="0">
    <oddFooter>&amp;RWykres dochodów Powiatu Białogardzkiego w I półroczu 2008r.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K23"/>
  <sheetViews>
    <sheetView view="pageLayout" topLeftCell="A2" workbookViewId="0">
      <selection activeCell="C20" sqref="C20:C22"/>
    </sheetView>
  </sheetViews>
  <sheetFormatPr defaultRowHeight="12.75"/>
  <cols>
    <col min="1" max="1" width="5.85546875" style="59" customWidth="1"/>
    <col min="2" max="2" width="7.140625" style="59" customWidth="1"/>
    <col min="3" max="3" width="30.28515625" style="59" customWidth="1"/>
    <col min="4" max="4" width="24.7109375" style="59" customWidth="1"/>
    <col min="5" max="5" width="15.5703125" style="59" customWidth="1"/>
    <col min="6" max="7" width="7.42578125" style="59" customWidth="1"/>
    <col min="8" max="8" width="11.7109375" style="59" customWidth="1"/>
    <col min="9" max="9" width="10" style="59" customWidth="1"/>
    <col min="10" max="10" width="12" style="59" customWidth="1"/>
    <col min="11" max="11" width="6.140625" style="59" customWidth="1"/>
    <col min="12" max="16384" width="9.140625" style="59"/>
  </cols>
  <sheetData>
    <row r="1" spans="1:11">
      <c r="H1" s="705" t="s">
        <v>469</v>
      </c>
      <c r="I1" s="705"/>
      <c r="J1" s="705"/>
    </row>
    <row r="2" spans="1:11">
      <c r="H2" s="60"/>
      <c r="I2" s="60"/>
      <c r="J2" s="60"/>
    </row>
    <row r="3" spans="1:11" ht="13.5" customHeight="1">
      <c r="A3" s="760" t="s">
        <v>162</v>
      </c>
      <c r="B3" s="760"/>
      <c r="C3" s="760"/>
      <c r="D3" s="760"/>
      <c r="E3" s="760"/>
      <c r="F3" s="760"/>
      <c r="G3" s="760"/>
      <c r="H3" s="760"/>
      <c r="I3" s="760"/>
      <c r="J3" s="760"/>
      <c r="K3" s="760"/>
    </row>
    <row r="4" spans="1:11" ht="15.75">
      <c r="A4" s="828" t="s">
        <v>171</v>
      </c>
      <c r="B4" s="828"/>
      <c r="C4" s="828"/>
      <c r="D4" s="828"/>
      <c r="E4" s="828"/>
      <c r="F4" s="828"/>
      <c r="G4" s="828"/>
      <c r="H4" s="828"/>
      <c r="I4" s="828"/>
      <c r="J4" s="828"/>
      <c r="K4" s="828"/>
    </row>
    <row r="5" spans="1:11" ht="16.5" customHeight="1">
      <c r="A5" s="760" t="s">
        <v>480</v>
      </c>
      <c r="B5" s="760"/>
      <c r="C5" s="760"/>
      <c r="D5" s="760"/>
      <c r="E5" s="760"/>
      <c r="F5" s="760"/>
      <c r="G5" s="760"/>
      <c r="H5" s="760"/>
      <c r="I5" s="760"/>
      <c r="J5" s="760"/>
      <c r="K5" s="760"/>
    </row>
    <row r="6" spans="1:11" s="61" customFormat="1" ht="6.75" customHeight="1"/>
    <row r="7" spans="1:11" ht="11.25" customHeight="1">
      <c r="J7" s="59" t="s">
        <v>172</v>
      </c>
    </row>
    <row r="8" spans="1:11">
      <c r="A8" s="827" t="s">
        <v>0</v>
      </c>
      <c r="B8" s="827" t="s">
        <v>13</v>
      </c>
      <c r="C8" s="827" t="s">
        <v>1</v>
      </c>
      <c r="D8" s="827" t="s">
        <v>177</v>
      </c>
      <c r="E8" s="827" t="s">
        <v>18</v>
      </c>
      <c r="F8" s="826" t="s">
        <v>19</v>
      </c>
      <c r="G8" s="826"/>
      <c r="H8" s="827" t="s">
        <v>412</v>
      </c>
      <c r="I8" s="827" t="s">
        <v>326</v>
      </c>
      <c r="J8" s="827"/>
      <c r="K8" s="827"/>
    </row>
    <row r="9" spans="1:11" ht="38.25">
      <c r="A9" s="827"/>
      <c r="B9" s="827"/>
      <c r="C9" s="827"/>
      <c r="D9" s="827"/>
      <c r="E9" s="827"/>
      <c r="F9" s="64" t="s">
        <v>20</v>
      </c>
      <c r="G9" s="64" t="s">
        <v>21</v>
      </c>
      <c r="H9" s="827"/>
      <c r="I9" s="664" t="s">
        <v>178</v>
      </c>
      <c r="J9" s="664" t="s">
        <v>179</v>
      </c>
      <c r="K9" s="664" t="s">
        <v>155</v>
      </c>
    </row>
    <row r="10" spans="1:11" s="62" customFormat="1" ht="11.25">
      <c r="A10" s="666">
        <v>1</v>
      </c>
      <c r="B10" s="666">
        <v>2</v>
      </c>
      <c r="C10" s="666">
        <v>3</v>
      </c>
      <c r="D10" s="666">
        <v>4</v>
      </c>
      <c r="E10" s="666">
        <v>5</v>
      </c>
      <c r="F10" s="666">
        <v>6</v>
      </c>
      <c r="G10" s="666">
        <v>7</v>
      </c>
      <c r="H10" s="666">
        <v>8</v>
      </c>
      <c r="I10" s="666">
        <v>9</v>
      </c>
      <c r="J10" s="666">
        <v>10</v>
      </c>
      <c r="K10" s="666"/>
    </row>
    <row r="11" spans="1:11" ht="27.75" customHeight="1">
      <c r="A11" s="829">
        <v>150</v>
      </c>
      <c r="B11" s="829">
        <v>15011</v>
      </c>
      <c r="C11" s="832" t="s">
        <v>329</v>
      </c>
      <c r="D11" s="835" t="s">
        <v>330</v>
      </c>
      <c r="E11" s="835" t="s">
        <v>307</v>
      </c>
      <c r="F11" s="838">
        <v>2007</v>
      </c>
      <c r="G11" s="841">
        <v>2008</v>
      </c>
      <c r="H11" s="851">
        <v>83505</v>
      </c>
      <c r="I11" s="848">
        <v>19500</v>
      </c>
      <c r="J11" s="851">
        <v>19500</v>
      </c>
      <c r="K11" s="844">
        <f>J11/I11*100</f>
        <v>100</v>
      </c>
    </row>
    <row r="12" spans="1:11" ht="25.5" customHeight="1">
      <c r="A12" s="830"/>
      <c r="B12" s="830"/>
      <c r="C12" s="833"/>
      <c r="D12" s="836"/>
      <c r="E12" s="836"/>
      <c r="F12" s="839"/>
      <c r="G12" s="842"/>
      <c r="H12" s="852"/>
      <c r="I12" s="849"/>
      <c r="J12" s="852"/>
      <c r="K12" s="844"/>
    </row>
    <row r="13" spans="1:11" ht="30" customHeight="1">
      <c r="A13" s="831"/>
      <c r="B13" s="831"/>
      <c r="C13" s="834"/>
      <c r="D13" s="837"/>
      <c r="E13" s="837"/>
      <c r="F13" s="840"/>
      <c r="G13" s="843"/>
      <c r="H13" s="853"/>
      <c r="I13" s="850"/>
      <c r="J13" s="853"/>
      <c r="K13" s="844"/>
    </row>
    <row r="14" spans="1:11" ht="27" customHeight="1">
      <c r="A14" s="829">
        <v>801</v>
      </c>
      <c r="B14" s="829">
        <v>80120</v>
      </c>
      <c r="C14" s="832" t="s">
        <v>329</v>
      </c>
      <c r="D14" s="835" t="s">
        <v>331</v>
      </c>
      <c r="E14" s="835" t="s">
        <v>307</v>
      </c>
      <c r="F14" s="841">
        <v>2008</v>
      </c>
      <c r="G14" s="838">
        <v>2008</v>
      </c>
      <c r="H14" s="845">
        <v>19792</v>
      </c>
      <c r="I14" s="848">
        <v>19792</v>
      </c>
      <c r="J14" s="845">
        <v>19791.310000000001</v>
      </c>
      <c r="K14" s="844">
        <f>J14/I14*100</f>
        <v>99.996513742926439</v>
      </c>
    </row>
    <row r="15" spans="1:11" s="311" customFormat="1" ht="25.5" customHeight="1">
      <c r="A15" s="830"/>
      <c r="B15" s="830"/>
      <c r="C15" s="833"/>
      <c r="D15" s="836"/>
      <c r="E15" s="836"/>
      <c r="F15" s="842"/>
      <c r="G15" s="839"/>
      <c r="H15" s="846"/>
      <c r="I15" s="849"/>
      <c r="J15" s="846"/>
      <c r="K15" s="844"/>
    </row>
    <row r="16" spans="1:11" s="311" customFormat="1" ht="22.5" customHeight="1">
      <c r="A16" s="831"/>
      <c r="B16" s="831"/>
      <c r="C16" s="834"/>
      <c r="D16" s="837"/>
      <c r="E16" s="837"/>
      <c r="F16" s="843"/>
      <c r="G16" s="840"/>
      <c r="H16" s="847"/>
      <c r="I16" s="850"/>
      <c r="J16" s="847"/>
      <c r="K16" s="844"/>
    </row>
    <row r="17" spans="1:11" s="311" customFormat="1" ht="31.5" customHeight="1">
      <c r="A17" s="829">
        <v>853</v>
      </c>
      <c r="B17" s="829">
        <v>85395</v>
      </c>
      <c r="C17" s="832" t="s">
        <v>332</v>
      </c>
      <c r="D17" s="835" t="s">
        <v>333</v>
      </c>
      <c r="E17" s="835" t="s">
        <v>164</v>
      </c>
      <c r="F17" s="841">
        <v>2008</v>
      </c>
      <c r="G17" s="838">
        <v>2010</v>
      </c>
      <c r="H17" s="845">
        <v>0</v>
      </c>
      <c r="I17" s="848">
        <v>65583</v>
      </c>
      <c r="J17" s="845">
        <v>0</v>
      </c>
      <c r="K17" s="844"/>
    </row>
    <row r="18" spans="1:11" s="311" customFormat="1" ht="26.25" customHeight="1">
      <c r="A18" s="830"/>
      <c r="B18" s="830"/>
      <c r="C18" s="833"/>
      <c r="D18" s="836"/>
      <c r="E18" s="836"/>
      <c r="F18" s="842"/>
      <c r="G18" s="839"/>
      <c r="H18" s="846"/>
      <c r="I18" s="849"/>
      <c r="J18" s="846"/>
      <c r="K18" s="844"/>
    </row>
    <row r="19" spans="1:11" s="311" customFormat="1" ht="21" customHeight="1">
      <c r="A19" s="831"/>
      <c r="B19" s="831"/>
      <c r="C19" s="834"/>
      <c r="D19" s="837"/>
      <c r="E19" s="837"/>
      <c r="F19" s="843"/>
      <c r="G19" s="840"/>
      <c r="H19" s="847"/>
      <c r="I19" s="850"/>
      <c r="J19" s="847"/>
      <c r="K19" s="844"/>
    </row>
    <row r="20" spans="1:11" s="311" customFormat="1" ht="23.25" customHeight="1">
      <c r="A20" s="829">
        <v>853</v>
      </c>
      <c r="B20" s="829">
        <v>85395</v>
      </c>
      <c r="C20" s="832" t="s">
        <v>334</v>
      </c>
      <c r="D20" s="835" t="s">
        <v>335</v>
      </c>
      <c r="E20" s="835" t="s">
        <v>163</v>
      </c>
      <c r="F20" s="841">
        <v>2008</v>
      </c>
      <c r="G20" s="838">
        <v>2013</v>
      </c>
      <c r="H20" s="845">
        <v>566183.41</v>
      </c>
      <c r="I20" s="848">
        <v>856629</v>
      </c>
      <c r="J20" s="845">
        <v>566183.41</v>
      </c>
      <c r="K20" s="844">
        <f>J20/I20*100</f>
        <v>66.094354732328696</v>
      </c>
    </row>
    <row r="21" spans="1:11" s="311" customFormat="1" ht="27.75" customHeight="1">
      <c r="A21" s="830"/>
      <c r="B21" s="830"/>
      <c r="C21" s="833"/>
      <c r="D21" s="836"/>
      <c r="E21" s="836"/>
      <c r="F21" s="842"/>
      <c r="G21" s="839"/>
      <c r="H21" s="846"/>
      <c r="I21" s="849"/>
      <c r="J21" s="846"/>
      <c r="K21" s="844"/>
    </row>
    <row r="22" spans="1:11" s="311" customFormat="1" ht="10.5" customHeight="1">
      <c r="A22" s="831"/>
      <c r="B22" s="831"/>
      <c r="C22" s="834"/>
      <c r="D22" s="837"/>
      <c r="E22" s="837"/>
      <c r="F22" s="843"/>
      <c r="G22" s="840"/>
      <c r="H22" s="847"/>
      <c r="I22" s="850"/>
      <c r="J22" s="847"/>
      <c r="K22" s="844"/>
    </row>
    <row r="23" spans="1:11" ht="18.75" customHeight="1">
      <c r="A23" s="825" t="s">
        <v>140</v>
      </c>
      <c r="B23" s="825"/>
      <c r="C23" s="825"/>
      <c r="D23" s="825"/>
      <c r="E23" s="825"/>
      <c r="F23" s="825"/>
      <c r="G23" s="825"/>
      <c r="H23" s="498">
        <f>SUM(H11:H22)</f>
        <v>669480.41</v>
      </c>
      <c r="I23" s="66">
        <f>SUM(I11:I22)</f>
        <v>961504</v>
      </c>
      <c r="J23" s="68">
        <f>SUM(J11:J22)</f>
        <v>605474.72</v>
      </c>
      <c r="K23" s="67">
        <f t="shared" ref="K23" si="0">J23/I23*100</f>
        <v>62.971627783139752</v>
      </c>
    </row>
  </sheetData>
  <mergeCells count="57">
    <mergeCell ref="G11:G13"/>
    <mergeCell ref="K14:K16"/>
    <mergeCell ref="K11:K13"/>
    <mergeCell ref="J11:J13"/>
    <mergeCell ref="I11:I13"/>
    <mergeCell ref="H11:H13"/>
    <mergeCell ref="G14:G16"/>
    <mergeCell ref="H14:H16"/>
    <mergeCell ref="I14:I16"/>
    <mergeCell ref="J14:J16"/>
    <mergeCell ref="A20:A22"/>
    <mergeCell ref="B20:B22"/>
    <mergeCell ref="C20:C22"/>
    <mergeCell ref="D20:D22"/>
    <mergeCell ref="E20:E22"/>
    <mergeCell ref="K20:K22"/>
    <mergeCell ref="K17:K19"/>
    <mergeCell ref="F17:F19"/>
    <mergeCell ref="G17:G19"/>
    <mergeCell ref="H17:H19"/>
    <mergeCell ref="I17:I19"/>
    <mergeCell ref="J17:J19"/>
    <mergeCell ref="F20:F22"/>
    <mergeCell ref="G20:G22"/>
    <mergeCell ref="H20:H22"/>
    <mergeCell ref="I20:I22"/>
    <mergeCell ref="J20:J22"/>
    <mergeCell ref="A17:A19"/>
    <mergeCell ref="B17:B19"/>
    <mergeCell ref="C17:C19"/>
    <mergeCell ref="D17:D19"/>
    <mergeCell ref="E17:E19"/>
    <mergeCell ref="D11:D13"/>
    <mergeCell ref="E11:E13"/>
    <mergeCell ref="F11:F13"/>
    <mergeCell ref="A14:A16"/>
    <mergeCell ref="B14:B16"/>
    <mergeCell ref="C14:C16"/>
    <mergeCell ref="D14:D16"/>
    <mergeCell ref="E14:E16"/>
    <mergeCell ref="F14:F16"/>
    <mergeCell ref="A23:G23"/>
    <mergeCell ref="H1:J1"/>
    <mergeCell ref="F8:G8"/>
    <mergeCell ref="H8:H9"/>
    <mergeCell ref="I8:K8"/>
    <mergeCell ref="A8:A9"/>
    <mergeCell ref="B8:B9"/>
    <mergeCell ref="C8:C9"/>
    <mergeCell ref="D8:D9"/>
    <mergeCell ref="E8:E9"/>
    <mergeCell ref="A3:K3"/>
    <mergeCell ref="A4:K4"/>
    <mergeCell ref="A5:K5"/>
    <mergeCell ref="A11:A13"/>
    <mergeCell ref="B11:B13"/>
    <mergeCell ref="C11:C13"/>
  </mergeCells>
  <phoneticPr fontId="0" type="noConversion"/>
  <pageMargins left="0.59055118110236227" right="0.31496062992125984" top="0.82677165354330717" bottom="0.9055118110236221" header="0.19685039370078741" footer="0.51181102362204722"/>
  <pageSetup paperSize="9" orientation="landscape" r:id="rId1"/>
  <headerFooter alignWithMargins="0">
    <oddFooter>&amp;C&amp;"Times New (W1),Normalny"Załącznik Nr 21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G852"/>
  <sheetViews>
    <sheetView view="pageLayout" topLeftCell="A825" workbookViewId="0">
      <selection activeCell="F648" sqref="F648"/>
    </sheetView>
  </sheetViews>
  <sheetFormatPr defaultRowHeight="12.75"/>
  <cols>
    <col min="1" max="1" width="4.7109375" style="359" customWidth="1"/>
    <col min="2" max="2" width="6" style="37" customWidth="1"/>
    <col min="3" max="3" width="5.85546875" style="37" customWidth="1"/>
    <col min="4" max="4" width="36.28515625" style="42" customWidth="1"/>
    <col min="5" max="5" width="12.28515625" customWidth="1"/>
    <col min="6" max="6" width="14" customWidth="1"/>
    <col min="7" max="7" width="7.5703125" customWidth="1"/>
  </cols>
  <sheetData>
    <row r="1" spans="1:7">
      <c r="B1"/>
      <c r="C1"/>
      <c r="D1"/>
      <c r="E1" s="42"/>
      <c r="F1" s="854" t="s">
        <v>470</v>
      </c>
      <c r="G1" s="854"/>
    </row>
    <row r="2" spans="1:7">
      <c r="A2" s="860" t="s">
        <v>211</v>
      </c>
      <c r="B2" s="860"/>
      <c r="C2" s="860"/>
      <c r="D2" s="860"/>
      <c r="E2" s="860"/>
      <c r="F2" s="860"/>
      <c r="G2" s="860"/>
    </row>
    <row r="3" spans="1:7">
      <c r="A3" s="860" t="s">
        <v>320</v>
      </c>
      <c r="B3" s="860"/>
      <c r="C3" s="860"/>
      <c r="D3" s="860"/>
      <c r="E3" s="860"/>
      <c r="F3" s="860"/>
      <c r="G3" s="860"/>
    </row>
    <row r="4" spans="1:7" ht="15.75">
      <c r="B4"/>
      <c r="C4"/>
      <c r="D4" s="196"/>
      <c r="E4" s="197"/>
      <c r="F4" s="198"/>
      <c r="G4" t="s">
        <v>206</v>
      </c>
    </row>
    <row r="5" spans="1:7">
      <c r="A5" s="861" t="s">
        <v>0</v>
      </c>
      <c r="B5" s="861" t="s">
        <v>13</v>
      </c>
      <c r="C5" s="861" t="s">
        <v>78</v>
      </c>
      <c r="D5" s="862" t="s">
        <v>191</v>
      </c>
      <c r="E5" s="199" t="s">
        <v>154</v>
      </c>
      <c r="F5" s="200" t="s">
        <v>144</v>
      </c>
      <c r="G5" s="201" t="s">
        <v>155</v>
      </c>
    </row>
    <row r="6" spans="1:7">
      <c r="A6" s="861"/>
      <c r="B6" s="861"/>
      <c r="C6" s="861"/>
      <c r="D6" s="862"/>
      <c r="E6" s="202" t="s">
        <v>212</v>
      </c>
      <c r="F6" s="203" t="s">
        <v>213</v>
      </c>
      <c r="G6" s="204" t="s">
        <v>214</v>
      </c>
    </row>
    <row r="7" spans="1:7">
      <c r="A7" s="205">
        <v>1</v>
      </c>
      <c r="B7" s="205">
        <v>2</v>
      </c>
      <c r="C7" s="205">
        <v>3</v>
      </c>
      <c r="D7" s="205">
        <v>4</v>
      </c>
      <c r="E7" s="206">
        <v>5</v>
      </c>
      <c r="F7" s="207" t="s">
        <v>215</v>
      </c>
      <c r="G7" s="208">
        <v>7</v>
      </c>
    </row>
    <row r="8" spans="1:7">
      <c r="A8" s="209" t="s">
        <v>28</v>
      </c>
      <c r="B8" s="210"/>
      <c r="C8" s="210"/>
      <c r="D8" s="211" t="s">
        <v>42</v>
      </c>
      <c r="E8" s="212">
        <f>E9+E11</f>
        <v>88100</v>
      </c>
      <c r="F8" s="213">
        <f>F9+F11</f>
        <v>8590.7800000000007</v>
      </c>
      <c r="G8" s="214">
        <f t="shared" ref="G8:G82" si="0">F8*100/E8</f>
        <v>9.7511691259931901</v>
      </c>
    </row>
    <row r="9" spans="1:7" ht="21">
      <c r="A9" s="754"/>
      <c r="B9" s="215" t="s">
        <v>63</v>
      </c>
      <c r="C9" s="215"/>
      <c r="D9" s="216" t="s">
        <v>79</v>
      </c>
      <c r="E9" s="217">
        <f>E10</f>
        <v>88000</v>
      </c>
      <c r="F9" s="218">
        <f>F10</f>
        <v>8540</v>
      </c>
      <c r="G9" s="219">
        <f t="shared" si="0"/>
        <v>9.704545454545455</v>
      </c>
    </row>
    <row r="10" spans="1:7">
      <c r="A10" s="755"/>
      <c r="B10" s="220"/>
      <c r="C10" s="220">
        <v>4300</v>
      </c>
      <c r="D10" s="221" t="s">
        <v>216</v>
      </c>
      <c r="E10" s="222">
        <v>88000</v>
      </c>
      <c r="F10" s="223">
        <v>8540</v>
      </c>
      <c r="G10" s="224">
        <f t="shared" si="0"/>
        <v>9.704545454545455</v>
      </c>
    </row>
    <row r="11" spans="1:7">
      <c r="A11" s="755"/>
      <c r="B11" s="215" t="s">
        <v>137</v>
      </c>
      <c r="C11" s="215"/>
      <c r="D11" s="225" t="s">
        <v>138</v>
      </c>
      <c r="E11" s="217">
        <f>E12</f>
        <v>100</v>
      </c>
      <c r="F11" s="218">
        <f>F12</f>
        <v>50.78</v>
      </c>
      <c r="G11" s="219">
        <f t="shared" si="0"/>
        <v>50.78</v>
      </c>
    </row>
    <row r="12" spans="1:7">
      <c r="A12" s="756"/>
      <c r="B12" s="220"/>
      <c r="C12" s="220">
        <v>4610</v>
      </c>
      <c r="D12" s="221" t="s">
        <v>217</v>
      </c>
      <c r="E12" s="222">
        <v>100</v>
      </c>
      <c r="F12" s="223">
        <v>50.78</v>
      </c>
      <c r="G12" s="224">
        <f t="shared" si="0"/>
        <v>50.78</v>
      </c>
    </row>
    <row r="13" spans="1:7">
      <c r="A13" s="209" t="s">
        <v>29</v>
      </c>
      <c r="B13" s="210"/>
      <c r="C13" s="210"/>
      <c r="D13" s="211" t="s">
        <v>43</v>
      </c>
      <c r="E13" s="212">
        <f>E14+E16</f>
        <v>269000</v>
      </c>
      <c r="F13" s="213">
        <f>F14+F16</f>
        <v>118946.35</v>
      </c>
      <c r="G13" s="214">
        <f t="shared" si="0"/>
        <v>44.217973977695166</v>
      </c>
    </row>
    <row r="14" spans="1:7">
      <c r="A14" s="863"/>
      <c r="B14" s="215" t="s">
        <v>81</v>
      </c>
      <c r="C14" s="215"/>
      <c r="D14" s="225" t="s">
        <v>82</v>
      </c>
      <c r="E14" s="217">
        <f>E15</f>
        <v>247000</v>
      </c>
      <c r="F14" s="218">
        <f>F15</f>
        <v>118946.35</v>
      </c>
      <c r="G14" s="219">
        <f t="shared" si="0"/>
        <v>48.156417004048585</v>
      </c>
    </row>
    <row r="15" spans="1:7">
      <c r="A15" s="863"/>
      <c r="B15" s="215"/>
      <c r="C15" s="220">
        <v>3030</v>
      </c>
      <c r="D15" s="221" t="s">
        <v>218</v>
      </c>
      <c r="E15" s="222">
        <v>247000</v>
      </c>
      <c r="F15" s="223">
        <v>118946.35</v>
      </c>
      <c r="G15" s="224">
        <f t="shared" si="0"/>
        <v>48.156417004048585</v>
      </c>
    </row>
    <row r="16" spans="1:7">
      <c r="A16" s="863"/>
      <c r="B16" s="215" t="s">
        <v>118</v>
      </c>
      <c r="C16" s="215"/>
      <c r="D16" s="225" t="s">
        <v>119</v>
      </c>
      <c r="E16" s="217">
        <f>E17</f>
        <v>22000</v>
      </c>
      <c r="F16" s="218">
        <f>F17</f>
        <v>0</v>
      </c>
      <c r="G16" s="219">
        <f t="shared" si="0"/>
        <v>0</v>
      </c>
    </row>
    <row r="17" spans="1:7">
      <c r="A17" s="863"/>
      <c r="B17" s="215"/>
      <c r="C17" s="220">
        <v>4300</v>
      </c>
      <c r="D17" s="221" t="s">
        <v>216</v>
      </c>
      <c r="E17" s="222">
        <v>22000</v>
      </c>
      <c r="F17" s="223">
        <v>0</v>
      </c>
      <c r="G17" s="224">
        <f t="shared" si="0"/>
        <v>0</v>
      </c>
    </row>
    <row r="18" spans="1:7">
      <c r="A18" s="209">
        <v>150</v>
      </c>
      <c r="B18" s="209"/>
      <c r="C18" s="209"/>
      <c r="D18" s="211" t="s">
        <v>180</v>
      </c>
      <c r="E18" s="212">
        <f>E19</f>
        <v>91012</v>
      </c>
      <c r="F18" s="213">
        <f>F19</f>
        <v>36164.21</v>
      </c>
      <c r="G18" s="214">
        <f t="shared" si="0"/>
        <v>39.735650243923878</v>
      </c>
    </row>
    <row r="19" spans="1:7">
      <c r="A19" s="864"/>
      <c r="B19" s="215">
        <v>15011</v>
      </c>
      <c r="C19" s="220"/>
      <c r="D19" s="225" t="s">
        <v>219</v>
      </c>
      <c r="E19" s="217">
        <f>SUM(E20:E27)</f>
        <v>91012</v>
      </c>
      <c r="F19" s="335">
        <f>SUM(F20:F27)</f>
        <v>36164.21</v>
      </c>
      <c r="G19" s="219">
        <f t="shared" si="0"/>
        <v>39.735650243923878</v>
      </c>
    </row>
    <row r="20" spans="1:7">
      <c r="A20" s="865"/>
      <c r="B20" s="867"/>
      <c r="C20" s="316">
        <v>4010</v>
      </c>
      <c r="D20" s="221" t="s">
        <v>222</v>
      </c>
      <c r="E20" s="222">
        <v>13650</v>
      </c>
      <c r="F20" s="223">
        <v>1950</v>
      </c>
      <c r="G20" s="224">
        <f t="shared" si="0"/>
        <v>14.285714285714286</v>
      </c>
    </row>
    <row r="21" spans="1:7">
      <c r="A21" s="865"/>
      <c r="B21" s="868"/>
      <c r="C21" s="316">
        <v>4018</v>
      </c>
      <c r="D21" s="221" t="s">
        <v>222</v>
      </c>
      <c r="E21" s="222">
        <v>14625</v>
      </c>
      <c r="F21" s="223">
        <v>14625</v>
      </c>
      <c r="G21" s="224">
        <f t="shared" si="0"/>
        <v>100</v>
      </c>
    </row>
    <row r="22" spans="1:7">
      <c r="A22" s="865"/>
      <c r="B22" s="868"/>
      <c r="C22" s="316">
        <v>4019</v>
      </c>
      <c r="D22" s="221" t="s">
        <v>222</v>
      </c>
      <c r="E22" s="222">
        <v>4875</v>
      </c>
      <c r="F22" s="223">
        <v>4875</v>
      </c>
      <c r="G22" s="224">
        <f t="shared" si="0"/>
        <v>100</v>
      </c>
    </row>
    <row r="23" spans="1:7">
      <c r="A23" s="865"/>
      <c r="B23" s="868"/>
      <c r="C23" s="316">
        <v>4110</v>
      </c>
      <c r="D23" s="221" t="s">
        <v>224</v>
      </c>
      <c r="E23" s="222">
        <v>5006</v>
      </c>
      <c r="F23" s="223">
        <v>3238.95</v>
      </c>
      <c r="G23" s="224">
        <f t="shared" si="0"/>
        <v>64.701358369956054</v>
      </c>
    </row>
    <row r="24" spans="1:7">
      <c r="A24" s="865"/>
      <c r="B24" s="868"/>
      <c r="C24" s="316">
        <v>4120</v>
      </c>
      <c r="D24" s="221" t="s">
        <v>225</v>
      </c>
      <c r="E24" s="222">
        <v>813</v>
      </c>
      <c r="F24" s="223">
        <v>525.57000000000005</v>
      </c>
      <c r="G24" s="224">
        <f t="shared" si="0"/>
        <v>64.645756457564588</v>
      </c>
    </row>
    <row r="25" spans="1:7">
      <c r="A25" s="865"/>
      <c r="B25" s="868"/>
      <c r="C25" s="316">
        <v>4260</v>
      </c>
      <c r="D25" s="221" t="s">
        <v>228</v>
      </c>
      <c r="E25" s="222">
        <v>10000</v>
      </c>
      <c r="F25" s="223">
        <v>9664.69</v>
      </c>
      <c r="G25" s="224">
        <f t="shared" si="0"/>
        <v>96.646900000000002</v>
      </c>
    </row>
    <row r="26" spans="1:7">
      <c r="A26" s="865"/>
      <c r="B26" s="868"/>
      <c r="C26" s="316">
        <v>4440</v>
      </c>
      <c r="D26" s="221" t="s">
        <v>236</v>
      </c>
      <c r="E26" s="222">
        <v>1285</v>
      </c>
      <c r="F26" s="223">
        <v>1285</v>
      </c>
      <c r="G26" s="224">
        <f t="shared" si="0"/>
        <v>100</v>
      </c>
    </row>
    <row r="27" spans="1:7">
      <c r="A27" s="866"/>
      <c r="B27" s="869"/>
      <c r="C27" s="220">
        <v>4810</v>
      </c>
      <c r="D27" s="221" t="s">
        <v>220</v>
      </c>
      <c r="E27" s="222">
        <v>40758</v>
      </c>
      <c r="F27" s="223">
        <v>0</v>
      </c>
      <c r="G27" s="224">
        <f t="shared" si="0"/>
        <v>0</v>
      </c>
    </row>
    <row r="28" spans="1:7">
      <c r="A28" s="210">
        <v>600</v>
      </c>
      <c r="B28" s="210"/>
      <c r="C28" s="210"/>
      <c r="D28" s="211" t="s">
        <v>84</v>
      </c>
      <c r="E28" s="212">
        <f>E29</f>
        <v>1919966</v>
      </c>
      <c r="F28" s="213">
        <f>F29</f>
        <v>723689.33000000007</v>
      </c>
      <c r="G28" s="214">
        <f t="shared" si="0"/>
        <v>37.692820081188941</v>
      </c>
    </row>
    <row r="29" spans="1:7">
      <c r="A29" s="857"/>
      <c r="B29" s="226">
        <v>60014</v>
      </c>
      <c r="C29" s="226"/>
      <c r="D29" s="225" t="s">
        <v>54</v>
      </c>
      <c r="E29" s="217">
        <f>+SUM(E30:E54)</f>
        <v>1919966</v>
      </c>
      <c r="F29" s="218">
        <f>+SUM(F30:F54)</f>
        <v>723689.33000000007</v>
      </c>
      <c r="G29" s="219">
        <f t="shared" si="0"/>
        <v>37.692820081188941</v>
      </c>
    </row>
    <row r="30" spans="1:7">
      <c r="A30" s="858"/>
      <c r="B30" s="857"/>
      <c r="C30" s="195">
        <v>3020</v>
      </c>
      <c r="D30" s="221" t="s">
        <v>221</v>
      </c>
      <c r="E30" s="222">
        <v>11750</v>
      </c>
      <c r="F30" s="223">
        <v>5775.45</v>
      </c>
      <c r="G30" s="224">
        <f t="shared" si="0"/>
        <v>49.15276595744681</v>
      </c>
    </row>
    <row r="31" spans="1:7">
      <c r="A31" s="858"/>
      <c r="B31" s="858"/>
      <c r="C31" s="220">
        <v>4010</v>
      </c>
      <c r="D31" s="221" t="s">
        <v>222</v>
      </c>
      <c r="E31" s="222">
        <v>535164</v>
      </c>
      <c r="F31" s="223">
        <v>230446.95</v>
      </c>
      <c r="G31" s="224">
        <f t="shared" si="0"/>
        <v>43.060996255353501</v>
      </c>
    </row>
    <row r="32" spans="1:7">
      <c r="A32" s="858"/>
      <c r="B32" s="858"/>
      <c r="C32" s="220">
        <v>4040</v>
      </c>
      <c r="D32" s="221" t="s">
        <v>223</v>
      </c>
      <c r="E32" s="222">
        <v>37200</v>
      </c>
      <c r="F32" s="223">
        <v>37199.160000000003</v>
      </c>
      <c r="G32" s="224">
        <f t="shared" si="0"/>
        <v>99.997741935483887</v>
      </c>
    </row>
    <row r="33" spans="1:7">
      <c r="A33" s="858"/>
      <c r="B33" s="858"/>
      <c r="C33" s="220">
        <v>4110</v>
      </c>
      <c r="D33" s="221" t="s">
        <v>224</v>
      </c>
      <c r="E33" s="222">
        <v>86316</v>
      </c>
      <c r="F33" s="223">
        <v>34988.379999999997</v>
      </c>
      <c r="G33" s="224">
        <f t="shared" si="0"/>
        <v>40.535219426294077</v>
      </c>
    </row>
    <row r="34" spans="1:7">
      <c r="A34" s="858"/>
      <c r="B34" s="858"/>
      <c r="C34" s="220">
        <v>4120</v>
      </c>
      <c r="D34" s="221" t="s">
        <v>225</v>
      </c>
      <c r="E34" s="222">
        <v>13926</v>
      </c>
      <c r="F34" s="227">
        <v>5671.51</v>
      </c>
      <c r="G34" s="224">
        <f t="shared" si="0"/>
        <v>40.726051989085164</v>
      </c>
    </row>
    <row r="35" spans="1:7">
      <c r="A35" s="858"/>
      <c r="B35" s="858"/>
      <c r="C35" s="220">
        <v>4170</v>
      </c>
      <c r="D35" s="221" t="s">
        <v>226</v>
      </c>
      <c r="E35" s="222">
        <v>6501</v>
      </c>
      <c r="F35" s="227">
        <v>6190</v>
      </c>
      <c r="G35" s="224">
        <f t="shared" si="0"/>
        <v>95.21612059683126</v>
      </c>
    </row>
    <row r="36" spans="1:7">
      <c r="A36" s="858"/>
      <c r="B36" s="858"/>
      <c r="C36" s="220">
        <v>4210</v>
      </c>
      <c r="D36" s="221" t="s">
        <v>227</v>
      </c>
      <c r="E36" s="222">
        <v>219250</v>
      </c>
      <c r="F36" s="227">
        <v>154568.13</v>
      </c>
      <c r="G36" s="224">
        <f t="shared" si="0"/>
        <v>70.498576966932731</v>
      </c>
    </row>
    <row r="37" spans="1:7">
      <c r="A37" s="858"/>
      <c r="B37" s="858"/>
      <c r="C37" s="220">
        <v>4260</v>
      </c>
      <c r="D37" s="221" t="s">
        <v>228</v>
      </c>
      <c r="E37" s="222">
        <v>22500</v>
      </c>
      <c r="F37" s="227">
        <v>10983.28</v>
      </c>
      <c r="G37" s="224">
        <f t="shared" si="0"/>
        <v>48.814577777777778</v>
      </c>
    </row>
    <row r="38" spans="1:7">
      <c r="A38" s="858"/>
      <c r="B38" s="858"/>
      <c r="C38" s="220">
        <v>4270</v>
      </c>
      <c r="D38" s="221" t="s">
        <v>229</v>
      </c>
      <c r="E38" s="222">
        <v>117345</v>
      </c>
      <c r="F38" s="227">
        <v>87852.62</v>
      </c>
      <c r="G38" s="224">
        <f t="shared" si="0"/>
        <v>74.866947888704246</v>
      </c>
    </row>
    <row r="39" spans="1:7">
      <c r="A39" s="858"/>
      <c r="B39" s="858"/>
      <c r="C39" s="220">
        <v>4280</v>
      </c>
      <c r="D39" s="221" t="s">
        <v>230</v>
      </c>
      <c r="E39" s="222">
        <v>500</v>
      </c>
      <c r="F39" s="227">
        <v>96</v>
      </c>
      <c r="G39" s="224">
        <f t="shared" si="0"/>
        <v>19.2</v>
      </c>
    </row>
    <row r="40" spans="1:7">
      <c r="A40" s="858"/>
      <c r="B40" s="858"/>
      <c r="C40" s="220">
        <v>4300</v>
      </c>
      <c r="D40" s="221" t="s">
        <v>216</v>
      </c>
      <c r="E40" s="222">
        <v>287397</v>
      </c>
      <c r="F40" s="227">
        <v>124424.88</v>
      </c>
      <c r="G40" s="224">
        <f t="shared" si="0"/>
        <v>43.293729579640704</v>
      </c>
    </row>
    <row r="41" spans="1:7">
      <c r="A41" s="858"/>
      <c r="B41" s="858"/>
      <c r="C41" s="220">
        <v>4350</v>
      </c>
      <c r="D41" s="221" t="s">
        <v>231</v>
      </c>
      <c r="E41" s="222">
        <v>1100</v>
      </c>
      <c r="F41" s="227">
        <v>605.1</v>
      </c>
      <c r="G41" s="224">
        <f t="shared" si="0"/>
        <v>55.009090909090908</v>
      </c>
    </row>
    <row r="42" spans="1:7">
      <c r="A42" s="858"/>
      <c r="B42" s="858"/>
      <c r="C42" s="220">
        <v>4360</v>
      </c>
      <c r="D42" s="221" t="s">
        <v>232</v>
      </c>
      <c r="E42" s="222">
        <v>5500</v>
      </c>
      <c r="F42" s="227">
        <v>2216.6799999999998</v>
      </c>
      <c r="G42" s="224">
        <f t="shared" si="0"/>
        <v>40.30327272727272</v>
      </c>
    </row>
    <row r="43" spans="1:7">
      <c r="A43" s="858"/>
      <c r="B43" s="858"/>
      <c r="C43" s="220">
        <v>4370</v>
      </c>
      <c r="D43" s="221" t="s">
        <v>233</v>
      </c>
      <c r="E43" s="222">
        <v>5500</v>
      </c>
      <c r="F43" s="227">
        <v>2107.5700000000002</v>
      </c>
      <c r="G43" s="224">
        <f t="shared" si="0"/>
        <v>38.319454545454548</v>
      </c>
    </row>
    <row r="44" spans="1:7">
      <c r="A44" s="858"/>
      <c r="B44" s="858"/>
      <c r="C44" s="220">
        <v>4410</v>
      </c>
      <c r="D44" s="221" t="s">
        <v>234</v>
      </c>
      <c r="E44" s="222">
        <v>400</v>
      </c>
      <c r="F44" s="227">
        <v>51.3</v>
      </c>
      <c r="G44" s="224">
        <f t="shared" si="0"/>
        <v>12.824999999999999</v>
      </c>
    </row>
    <row r="45" spans="1:7">
      <c r="A45" s="858"/>
      <c r="B45" s="858"/>
      <c r="C45" s="220">
        <v>4440</v>
      </c>
      <c r="D45" s="221" t="s">
        <v>236</v>
      </c>
      <c r="E45" s="222">
        <v>15000</v>
      </c>
      <c r="F45" s="227">
        <v>12000</v>
      </c>
      <c r="G45" s="224">
        <f t="shared" si="0"/>
        <v>80</v>
      </c>
    </row>
    <row r="46" spans="1:7">
      <c r="A46" s="858"/>
      <c r="B46" s="858"/>
      <c r="C46" s="220">
        <v>4480</v>
      </c>
      <c r="D46" s="221" t="s">
        <v>237</v>
      </c>
      <c r="E46" s="222">
        <v>3505</v>
      </c>
      <c r="F46" s="227">
        <v>1644.98</v>
      </c>
      <c r="G46" s="224">
        <f t="shared" si="0"/>
        <v>46.932382310984309</v>
      </c>
    </row>
    <row r="47" spans="1:7">
      <c r="A47" s="858"/>
      <c r="B47" s="858"/>
      <c r="C47" s="316">
        <v>4510</v>
      </c>
      <c r="D47" s="221" t="s">
        <v>245</v>
      </c>
      <c r="E47" s="222">
        <v>500</v>
      </c>
      <c r="F47" s="227"/>
      <c r="G47" s="224">
        <f t="shared" si="0"/>
        <v>0</v>
      </c>
    </row>
    <row r="48" spans="1:7">
      <c r="A48" s="858"/>
      <c r="B48" s="858"/>
      <c r="C48" s="220">
        <v>4520</v>
      </c>
      <c r="D48" s="221" t="s">
        <v>238</v>
      </c>
      <c r="E48" s="222">
        <v>1989</v>
      </c>
      <c r="F48" s="227">
        <v>1988.4</v>
      </c>
      <c r="G48" s="224">
        <f t="shared" si="0"/>
        <v>99.969834087481146</v>
      </c>
    </row>
    <row r="49" spans="1:7">
      <c r="A49" s="858"/>
      <c r="B49" s="858"/>
      <c r="C49" s="220">
        <v>4610</v>
      </c>
      <c r="D49" s="221" t="s">
        <v>336</v>
      </c>
      <c r="E49" s="222">
        <v>1000</v>
      </c>
      <c r="F49" s="227">
        <v>1000</v>
      </c>
      <c r="G49" s="224">
        <f t="shared" si="0"/>
        <v>100</v>
      </c>
    </row>
    <row r="50" spans="1:7">
      <c r="A50" s="858"/>
      <c r="B50" s="858"/>
      <c r="C50" s="220">
        <v>4700</v>
      </c>
      <c r="D50" s="221" t="s">
        <v>239</v>
      </c>
      <c r="E50" s="222">
        <v>5730</v>
      </c>
      <c r="F50" s="227">
        <v>2020</v>
      </c>
      <c r="G50" s="224">
        <f t="shared" si="0"/>
        <v>35.253054101221643</v>
      </c>
    </row>
    <row r="51" spans="1:7">
      <c r="A51" s="858"/>
      <c r="B51" s="858"/>
      <c r="C51" s="220">
        <v>4740</v>
      </c>
      <c r="D51" s="221" t="s">
        <v>240</v>
      </c>
      <c r="E51" s="222">
        <v>700</v>
      </c>
      <c r="F51" s="227">
        <v>200.82</v>
      </c>
      <c r="G51" s="224">
        <f t="shared" si="0"/>
        <v>28.688571428571429</v>
      </c>
    </row>
    <row r="52" spans="1:7">
      <c r="A52" s="858"/>
      <c r="B52" s="858"/>
      <c r="C52" s="220">
        <v>4750</v>
      </c>
      <c r="D52" s="221" t="s">
        <v>241</v>
      </c>
      <c r="E52" s="222">
        <v>11000</v>
      </c>
      <c r="F52" s="227">
        <v>1658.12</v>
      </c>
      <c r="G52" s="224">
        <f t="shared" si="0"/>
        <v>15.073818181818181</v>
      </c>
    </row>
    <row r="53" spans="1:7">
      <c r="A53" s="858"/>
      <c r="B53" s="858"/>
      <c r="C53" s="220">
        <v>6050</v>
      </c>
      <c r="D53" s="221" t="s">
        <v>242</v>
      </c>
      <c r="E53" s="222">
        <v>470193</v>
      </c>
      <c r="F53" s="227">
        <v>0</v>
      </c>
      <c r="G53" s="224">
        <f t="shared" si="0"/>
        <v>0</v>
      </c>
    </row>
    <row r="54" spans="1:7">
      <c r="A54" s="859"/>
      <c r="B54" s="859"/>
      <c r="C54" s="220">
        <v>6060</v>
      </c>
      <c r="D54" s="221" t="s">
        <v>243</v>
      </c>
      <c r="E54" s="222">
        <v>60000</v>
      </c>
      <c r="F54" s="227">
        <v>0</v>
      </c>
      <c r="G54" s="224">
        <f t="shared" si="0"/>
        <v>0</v>
      </c>
    </row>
    <row r="55" spans="1:7">
      <c r="A55" s="210">
        <v>700</v>
      </c>
      <c r="B55" s="210"/>
      <c r="C55" s="210"/>
      <c r="D55" s="211" t="s">
        <v>44</v>
      </c>
      <c r="E55" s="212">
        <f>E56</f>
        <v>425100</v>
      </c>
      <c r="F55" s="228">
        <f>F56</f>
        <v>331882.73</v>
      </c>
      <c r="G55" s="214">
        <f t="shared" si="0"/>
        <v>78.071684309574223</v>
      </c>
    </row>
    <row r="56" spans="1:7">
      <c r="A56" s="754"/>
      <c r="B56" s="226">
        <v>70005</v>
      </c>
      <c r="C56" s="226"/>
      <c r="D56" s="225" t="s">
        <v>244</v>
      </c>
      <c r="E56" s="217">
        <f>SUM(E57:E68)</f>
        <v>425100</v>
      </c>
      <c r="F56" s="229">
        <f>SUM(F57:F68)</f>
        <v>331882.73</v>
      </c>
      <c r="G56" s="219">
        <f t="shared" si="0"/>
        <v>78.071684309574223</v>
      </c>
    </row>
    <row r="57" spans="1:7">
      <c r="A57" s="755"/>
      <c r="B57" s="857"/>
      <c r="C57" s="220">
        <v>4210</v>
      </c>
      <c r="D57" s="221" t="s">
        <v>227</v>
      </c>
      <c r="E57" s="222">
        <v>500</v>
      </c>
      <c r="F57" s="227">
        <v>0</v>
      </c>
      <c r="G57" s="224">
        <f t="shared" si="0"/>
        <v>0</v>
      </c>
    </row>
    <row r="58" spans="1:7">
      <c r="A58" s="755"/>
      <c r="B58" s="858"/>
      <c r="C58" s="220">
        <v>4260</v>
      </c>
      <c r="D58" s="221" t="s">
        <v>228</v>
      </c>
      <c r="E58" s="222">
        <v>7307</v>
      </c>
      <c r="F58" s="227">
        <v>2515.38</v>
      </c>
      <c r="G58" s="224">
        <f t="shared" si="0"/>
        <v>34.42425071848912</v>
      </c>
    </row>
    <row r="59" spans="1:7">
      <c r="A59" s="755"/>
      <c r="B59" s="858"/>
      <c r="C59" s="220">
        <v>4270</v>
      </c>
      <c r="D59" s="221" t="s">
        <v>229</v>
      </c>
      <c r="E59" s="222">
        <v>7000</v>
      </c>
      <c r="F59" s="227">
        <v>2924.04</v>
      </c>
      <c r="G59" s="224">
        <f t="shared" si="0"/>
        <v>41.771999999999998</v>
      </c>
    </row>
    <row r="60" spans="1:7">
      <c r="A60" s="755"/>
      <c r="B60" s="858"/>
      <c r="C60" s="220">
        <v>4300</v>
      </c>
      <c r="D60" s="221" t="s">
        <v>216</v>
      </c>
      <c r="E60" s="222">
        <v>91682</v>
      </c>
      <c r="F60" s="227">
        <v>71969.02</v>
      </c>
      <c r="G60" s="224">
        <f t="shared" si="0"/>
        <v>78.498527519033175</v>
      </c>
    </row>
    <row r="61" spans="1:7">
      <c r="A61" s="755"/>
      <c r="B61" s="858"/>
      <c r="C61" s="316">
        <v>4390</v>
      </c>
      <c r="D61" s="221" t="s">
        <v>337</v>
      </c>
      <c r="E61" s="222">
        <v>1220</v>
      </c>
      <c r="F61" s="227">
        <v>1220</v>
      </c>
      <c r="G61" s="224">
        <f t="shared" si="0"/>
        <v>100</v>
      </c>
    </row>
    <row r="62" spans="1:7">
      <c r="A62" s="755"/>
      <c r="B62" s="858"/>
      <c r="C62" s="316">
        <v>4400</v>
      </c>
      <c r="D62" s="221" t="s">
        <v>249</v>
      </c>
      <c r="E62" s="222">
        <v>8400</v>
      </c>
      <c r="F62" s="227">
        <v>3077.97</v>
      </c>
      <c r="G62" s="224">
        <f t="shared" si="0"/>
        <v>36.642499999999998</v>
      </c>
    </row>
    <row r="63" spans="1:7">
      <c r="A63" s="755"/>
      <c r="B63" s="858"/>
      <c r="C63" s="316">
        <v>4480</v>
      </c>
      <c r="D63" s="221" t="s">
        <v>237</v>
      </c>
      <c r="E63" s="222">
        <v>15000</v>
      </c>
      <c r="F63" s="227">
        <v>3485</v>
      </c>
      <c r="G63" s="224">
        <f t="shared" si="0"/>
        <v>23.233333333333334</v>
      </c>
    </row>
    <row r="64" spans="1:7">
      <c r="A64" s="755"/>
      <c r="B64" s="858"/>
      <c r="C64" s="220">
        <v>4510</v>
      </c>
      <c r="D64" s="221" t="s">
        <v>245</v>
      </c>
      <c r="E64" s="222">
        <v>10000</v>
      </c>
      <c r="F64" s="227">
        <v>0</v>
      </c>
      <c r="G64" s="224">
        <f t="shared" si="0"/>
        <v>0</v>
      </c>
    </row>
    <row r="65" spans="1:7">
      <c r="A65" s="755"/>
      <c r="B65" s="858"/>
      <c r="C65" s="220">
        <v>4520</v>
      </c>
      <c r="D65" s="221" t="s">
        <v>238</v>
      </c>
      <c r="E65" s="222">
        <v>2468</v>
      </c>
      <c r="F65" s="227">
        <v>2392.31</v>
      </c>
      <c r="G65" s="224">
        <f t="shared" si="0"/>
        <v>96.933144246353322</v>
      </c>
    </row>
    <row r="66" spans="1:7">
      <c r="A66" s="755"/>
      <c r="B66" s="858"/>
      <c r="C66" s="220">
        <v>4530</v>
      </c>
      <c r="D66" s="221" t="s">
        <v>246</v>
      </c>
      <c r="E66" s="222">
        <v>261000</v>
      </c>
      <c r="F66" s="227">
        <v>225363</v>
      </c>
      <c r="G66" s="224">
        <f t="shared" si="0"/>
        <v>86.345977011494256</v>
      </c>
    </row>
    <row r="67" spans="1:7">
      <c r="A67" s="755"/>
      <c r="B67" s="858"/>
      <c r="C67" s="316">
        <v>4570</v>
      </c>
      <c r="D67" s="221" t="s">
        <v>338</v>
      </c>
      <c r="E67" s="222">
        <v>2023</v>
      </c>
      <c r="F67" s="227">
        <v>2022.37</v>
      </c>
      <c r="G67" s="224">
        <f t="shared" si="0"/>
        <v>99.968858131487892</v>
      </c>
    </row>
    <row r="68" spans="1:7">
      <c r="A68" s="756"/>
      <c r="B68" s="859"/>
      <c r="C68" s="220">
        <v>4610</v>
      </c>
      <c r="D68" s="221" t="s">
        <v>217</v>
      </c>
      <c r="E68" s="222">
        <v>18500</v>
      </c>
      <c r="F68" s="227">
        <v>16913.64</v>
      </c>
      <c r="G68" s="224">
        <f t="shared" si="0"/>
        <v>91.425081081081075</v>
      </c>
    </row>
    <row r="69" spans="1:7">
      <c r="A69" s="210">
        <v>710</v>
      </c>
      <c r="B69" s="210"/>
      <c r="C69" s="210"/>
      <c r="D69" s="211" t="s">
        <v>45</v>
      </c>
      <c r="E69" s="212">
        <f>E70+E72+E74</f>
        <v>341600</v>
      </c>
      <c r="F69" s="228">
        <f>F70+F72+F74</f>
        <v>115584.76999999999</v>
      </c>
      <c r="G69" s="214">
        <f t="shared" si="0"/>
        <v>33.836290983606553</v>
      </c>
    </row>
    <row r="70" spans="1:7">
      <c r="A70" s="754"/>
      <c r="B70" s="226">
        <v>71013</v>
      </c>
      <c r="C70" s="226"/>
      <c r="D70" s="225" t="s">
        <v>247</v>
      </c>
      <c r="E70" s="217">
        <f>E71</f>
        <v>74000</v>
      </c>
      <c r="F70" s="229">
        <f>F71</f>
        <v>0</v>
      </c>
      <c r="G70" s="219">
        <f t="shared" si="0"/>
        <v>0</v>
      </c>
    </row>
    <row r="71" spans="1:7">
      <c r="A71" s="755"/>
      <c r="B71" s="195"/>
      <c r="C71" s="195">
        <v>4300</v>
      </c>
      <c r="D71" s="221" t="s">
        <v>216</v>
      </c>
      <c r="E71" s="222">
        <v>74000</v>
      </c>
      <c r="F71" s="227">
        <v>0</v>
      </c>
      <c r="G71" s="224">
        <f t="shared" si="0"/>
        <v>0</v>
      </c>
    </row>
    <row r="72" spans="1:7">
      <c r="A72" s="755"/>
      <c r="B72" s="226">
        <v>71014</v>
      </c>
      <c r="C72" s="226"/>
      <c r="D72" s="225" t="s">
        <v>87</v>
      </c>
      <c r="E72" s="217">
        <f>E73</f>
        <v>19000</v>
      </c>
      <c r="F72" s="229">
        <f>F73</f>
        <v>0</v>
      </c>
      <c r="G72" s="219">
        <f t="shared" si="0"/>
        <v>0</v>
      </c>
    </row>
    <row r="73" spans="1:7">
      <c r="A73" s="755"/>
      <c r="B73" s="195"/>
      <c r="C73" s="195">
        <v>4300</v>
      </c>
      <c r="D73" s="221" t="s">
        <v>216</v>
      </c>
      <c r="E73" s="222">
        <v>19000</v>
      </c>
      <c r="F73" s="227"/>
      <c r="G73" s="224">
        <f t="shared" si="0"/>
        <v>0</v>
      </c>
    </row>
    <row r="74" spans="1:7">
      <c r="A74" s="755"/>
      <c r="B74" s="226">
        <v>71015</v>
      </c>
      <c r="C74" s="226"/>
      <c r="D74" s="225" t="s">
        <v>88</v>
      </c>
      <c r="E74" s="217">
        <f>SUM(E75:E95)</f>
        <v>248600</v>
      </c>
      <c r="F74" s="229">
        <f>SUM(F75:F95)</f>
        <v>115584.76999999999</v>
      </c>
      <c r="G74" s="219">
        <f t="shared" si="0"/>
        <v>46.494275945293637</v>
      </c>
    </row>
    <row r="75" spans="1:7">
      <c r="A75" s="755"/>
      <c r="B75" s="754"/>
      <c r="C75" s="220">
        <v>4010</v>
      </c>
      <c r="D75" s="221" t="s">
        <v>222</v>
      </c>
      <c r="E75" s="222">
        <v>59448</v>
      </c>
      <c r="F75" s="227">
        <v>28890</v>
      </c>
      <c r="G75" s="224">
        <f t="shared" si="0"/>
        <v>48.597093257973356</v>
      </c>
    </row>
    <row r="76" spans="1:7">
      <c r="A76" s="755"/>
      <c r="B76" s="755"/>
      <c r="C76" s="220">
        <v>4020</v>
      </c>
      <c r="D76" s="221" t="s">
        <v>248</v>
      </c>
      <c r="E76" s="222">
        <v>116927</v>
      </c>
      <c r="F76" s="227">
        <v>51611.51</v>
      </c>
      <c r="G76" s="224">
        <f t="shared" si="0"/>
        <v>44.139942015103443</v>
      </c>
    </row>
    <row r="77" spans="1:7">
      <c r="A77" s="755"/>
      <c r="B77" s="755"/>
      <c r="C77" s="220">
        <v>4040</v>
      </c>
      <c r="D77" s="221" t="s">
        <v>223</v>
      </c>
      <c r="E77" s="222">
        <v>10660</v>
      </c>
      <c r="F77" s="227">
        <v>10659.46</v>
      </c>
      <c r="G77" s="224">
        <f t="shared" si="0"/>
        <v>99.994934333958724</v>
      </c>
    </row>
    <row r="78" spans="1:7">
      <c r="A78" s="755"/>
      <c r="B78" s="755"/>
      <c r="C78" s="220">
        <v>4110</v>
      </c>
      <c r="D78" s="221" t="s">
        <v>224</v>
      </c>
      <c r="E78" s="222">
        <v>32307</v>
      </c>
      <c r="F78" s="227">
        <v>14149.09</v>
      </c>
      <c r="G78" s="224">
        <f t="shared" si="0"/>
        <v>43.795740861113693</v>
      </c>
    </row>
    <row r="79" spans="1:7">
      <c r="A79" s="755"/>
      <c r="B79" s="755"/>
      <c r="C79" s="220">
        <v>4120</v>
      </c>
      <c r="D79" s="221" t="s">
        <v>225</v>
      </c>
      <c r="E79" s="222">
        <v>4233</v>
      </c>
      <c r="F79" s="227">
        <v>2158.4499999999998</v>
      </c>
      <c r="G79" s="224">
        <f t="shared" si="0"/>
        <v>50.991022915190165</v>
      </c>
    </row>
    <row r="80" spans="1:7">
      <c r="A80" s="755"/>
      <c r="B80" s="755"/>
      <c r="C80" s="220">
        <v>4210</v>
      </c>
      <c r="D80" s="221" t="s">
        <v>227</v>
      </c>
      <c r="E80" s="222">
        <v>4991</v>
      </c>
      <c r="F80" s="227">
        <v>1189.3599999999999</v>
      </c>
      <c r="G80" s="224">
        <f t="shared" si="0"/>
        <v>23.830094169505106</v>
      </c>
    </row>
    <row r="81" spans="1:7">
      <c r="A81" s="755"/>
      <c r="B81" s="755"/>
      <c r="C81" s="220">
        <v>4270</v>
      </c>
      <c r="D81" s="221" t="s">
        <v>229</v>
      </c>
      <c r="E81" s="222">
        <v>610</v>
      </c>
      <c r="F81" s="227">
        <v>152.5</v>
      </c>
      <c r="G81" s="224">
        <f t="shared" si="0"/>
        <v>25</v>
      </c>
    </row>
    <row r="82" spans="1:7">
      <c r="A82" s="755"/>
      <c r="B82" s="755"/>
      <c r="C82" s="220">
        <v>4280</v>
      </c>
      <c r="D82" s="221" t="s">
        <v>230</v>
      </c>
      <c r="E82" s="222">
        <v>180</v>
      </c>
      <c r="F82" s="227">
        <v>0</v>
      </c>
      <c r="G82" s="224">
        <f t="shared" si="0"/>
        <v>0</v>
      </c>
    </row>
    <row r="83" spans="1:7">
      <c r="A83" s="755"/>
      <c r="B83" s="755"/>
      <c r="C83" s="220">
        <v>4300</v>
      </c>
      <c r="D83" s="221" t="s">
        <v>216</v>
      </c>
      <c r="E83" s="222">
        <v>2955</v>
      </c>
      <c r="F83" s="227">
        <v>924.04</v>
      </c>
      <c r="G83" s="224">
        <f t="shared" ref="G83:G149" si="1">F83*100/E83</f>
        <v>31.270389170896784</v>
      </c>
    </row>
    <row r="84" spans="1:7">
      <c r="A84" s="755"/>
      <c r="B84" s="755"/>
      <c r="C84" s="220">
        <v>4350</v>
      </c>
      <c r="D84" s="221" t="s">
        <v>231</v>
      </c>
      <c r="E84" s="222">
        <v>840</v>
      </c>
      <c r="F84" s="227">
        <v>389.4</v>
      </c>
      <c r="G84" s="224">
        <f t="shared" si="1"/>
        <v>46.357142857142854</v>
      </c>
    </row>
    <row r="85" spans="1:7">
      <c r="A85" s="755"/>
      <c r="B85" s="755"/>
      <c r="C85" s="220">
        <v>4370</v>
      </c>
      <c r="D85" s="221" t="s">
        <v>233</v>
      </c>
      <c r="E85" s="222">
        <v>2400</v>
      </c>
      <c r="F85" s="227">
        <v>980.59</v>
      </c>
      <c r="G85" s="224">
        <f t="shared" si="1"/>
        <v>40.857916666666668</v>
      </c>
    </row>
    <row r="86" spans="1:7" ht="22.5">
      <c r="A86" s="755"/>
      <c r="B86" s="755"/>
      <c r="C86" s="220">
        <v>4400</v>
      </c>
      <c r="D86" s="230" t="s">
        <v>249</v>
      </c>
      <c r="E86" s="222">
        <v>1200</v>
      </c>
      <c r="F86" s="227">
        <v>600</v>
      </c>
      <c r="G86" s="224">
        <f t="shared" si="1"/>
        <v>50</v>
      </c>
    </row>
    <row r="87" spans="1:7">
      <c r="A87" s="755"/>
      <c r="B87" s="755"/>
      <c r="C87" s="220">
        <v>4410</v>
      </c>
      <c r="D87" s="221" t="s">
        <v>234</v>
      </c>
      <c r="E87" s="222">
        <v>2700</v>
      </c>
      <c r="F87" s="227">
        <v>746.55</v>
      </c>
      <c r="G87" s="224">
        <f t="shared" si="1"/>
        <v>27.65</v>
      </c>
    </row>
    <row r="88" spans="1:7">
      <c r="A88" s="755"/>
      <c r="B88" s="755"/>
      <c r="C88" s="316">
        <v>4430</v>
      </c>
      <c r="D88" s="221" t="s">
        <v>235</v>
      </c>
      <c r="E88" s="222">
        <v>1800</v>
      </c>
      <c r="F88" s="227">
        <v>0</v>
      </c>
      <c r="G88" s="224">
        <f t="shared" si="1"/>
        <v>0</v>
      </c>
    </row>
    <row r="89" spans="1:7">
      <c r="A89" s="755"/>
      <c r="B89" s="755"/>
      <c r="C89" s="220">
        <v>4440</v>
      </c>
      <c r="D89" s="221" t="s">
        <v>236</v>
      </c>
      <c r="E89" s="222">
        <v>3853</v>
      </c>
      <c r="F89" s="227">
        <v>2900</v>
      </c>
      <c r="G89" s="224">
        <f t="shared" si="1"/>
        <v>75.266026472878281</v>
      </c>
    </row>
    <row r="90" spans="1:7">
      <c r="A90" s="755"/>
      <c r="B90" s="755"/>
      <c r="C90" s="316">
        <v>4480</v>
      </c>
      <c r="D90" s="221" t="s">
        <v>237</v>
      </c>
      <c r="E90" s="222">
        <v>218</v>
      </c>
      <c r="F90" s="227">
        <v>217</v>
      </c>
      <c r="G90" s="224">
        <f t="shared" si="1"/>
        <v>99.541284403669721</v>
      </c>
    </row>
    <row r="91" spans="1:7">
      <c r="A91" s="755"/>
      <c r="B91" s="755"/>
      <c r="C91" s="220">
        <v>4550</v>
      </c>
      <c r="D91" s="221" t="s">
        <v>250</v>
      </c>
      <c r="E91" s="222">
        <v>750</v>
      </c>
      <c r="F91" s="227">
        <v>0</v>
      </c>
      <c r="G91" s="224">
        <f t="shared" si="1"/>
        <v>0</v>
      </c>
    </row>
    <row r="92" spans="1:7">
      <c r="A92" s="755"/>
      <c r="B92" s="755"/>
      <c r="C92" s="220">
        <v>4610</v>
      </c>
      <c r="D92" s="221" t="s">
        <v>217</v>
      </c>
      <c r="E92" s="222">
        <v>28</v>
      </c>
      <c r="F92" s="227">
        <v>16.82</v>
      </c>
      <c r="G92" s="224">
        <f t="shared" si="1"/>
        <v>60.071428571428569</v>
      </c>
    </row>
    <row r="93" spans="1:7">
      <c r="A93" s="755"/>
      <c r="B93" s="755"/>
      <c r="C93" s="220">
        <v>4700</v>
      </c>
      <c r="D93" s="221" t="s">
        <v>239</v>
      </c>
      <c r="E93" s="222">
        <v>1000</v>
      </c>
      <c r="F93" s="227">
        <v>0</v>
      </c>
      <c r="G93" s="224">
        <f t="shared" si="1"/>
        <v>0</v>
      </c>
    </row>
    <row r="94" spans="1:7">
      <c r="A94" s="755"/>
      <c r="B94" s="755"/>
      <c r="C94" s="220">
        <v>4740</v>
      </c>
      <c r="D94" s="221" t="s">
        <v>240</v>
      </c>
      <c r="E94" s="222">
        <v>500</v>
      </c>
      <c r="F94" s="227">
        <v>0</v>
      </c>
      <c r="G94" s="224">
        <f t="shared" si="1"/>
        <v>0</v>
      </c>
    </row>
    <row r="95" spans="1:7">
      <c r="A95" s="756"/>
      <c r="B95" s="756"/>
      <c r="C95" s="220">
        <v>4750</v>
      </c>
      <c r="D95" s="221" t="s">
        <v>241</v>
      </c>
      <c r="E95" s="222">
        <v>1000</v>
      </c>
      <c r="F95" s="227">
        <v>0</v>
      </c>
      <c r="G95" s="224">
        <f t="shared" si="1"/>
        <v>0</v>
      </c>
    </row>
    <row r="96" spans="1:7">
      <c r="A96" s="210">
        <v>750</v>
      </c>
      <c r="B96" s="210"/>
      <c r="C96" s="210"/>
      <c r="D96" s="211" t="s">
        <v>46</v>
      </c>
      <c r="E96" s="212">
        <f>E97+E101+E107+E136+E148+E144</f>
        <v>5218153</v>
      </c>
      <c r="F96" s="228">
        <f>F97+F101+F107+F136+F148+F144</f>
        <v>2401247.8699999992</v>
      </c>
      <c r="G96" s="214">
        <f t="shared" si="1"/>
        <v>46.017199380700397</v>
      </c>
    </row>
    <row r="97" spans="1:7">
      <c r="A97" s="870"/>
      <c r="B97" s="226">
        <v>75011</v>
      </c>
      <c r="C97" s="226"/>
      <c r="D97" s="225" t="s">
        <v>91</v>
      </c>
      <c r="E97" s="217">
        <f>E98+E99+E100</f>
        <v>101500</v>
      </c>
      <c r="F97" s="229">
        <f>F98+F99+F100</f>
        <v>50750</v>
      </c>
      <c r="G97" s="219">
        <f t="shared" si="1"/>
        <v>50</v>
      </c>
    </row>
    <row r="98" spans="1:7">
      <c r="A98" s="870"/>
      <c r="B98" s="870"/>
      <c r="C98" s="220">
        <v>4010</v>
      </c>
      <c r="D98" s="221" t="s">
        <v>222</v>
      </c>
      <c r="E98" s="222">
        <v>86350</v>
      </c>
      <c r="F98" s="227">
        <v>43175</v>
      </c>
      <c r="G98" s="224">
        <f t="shared" si="1"/>
        <v>50</v>
      </c>
    </row>
    <row r="99" spans="1:7">
      <c r="A99" s="870"/>
      <c r="B99" s="870"/>
      <c r="C99" s="220">
        <v>4110</v>
      </c>
      <c r="D99" s="221" t="s">
        <v>224</v>
      </c>
      <c r="E99" s="222">
        <v>13036</v>
      </c>
      <c r="F99" s="227">
        <v>6518</v>
      </c>
      <c r="G99" s="224">
        <f t="shared" si="1"/>
        <v>50</v>
      </c>
    </row>
    <row r="100" spans="1:7">
      <c r="A100" s="870"/>
      <c r="B100" s="870"/>
      <c r="C100" s="220">
        <v>4120</v>
      </c>
      <c r="D100" s="221" t="s">
        <v>225</v>
      </c>
      <c r="E100" s="222">
        <v>2114</v>
      </c>
      <c r="F100" s="227">
        <v>1057</v>
      </c>
      <c r="G100" s="224">
        <f t="shared" si="1"/>
        <v>50</v>
      </c>
    </row>
    <row r="101" spans="1:7">
      <c r="A101" s="870"/>
      <c r="B101" s="226">
        <v>75019</v>
      </c>
      <c r="C101" s="226"/>
      <c r="D101" s="225" t="s">
        <v>122</v>
      </c>
      <c r="E101" s="217">
        <f>SUM(E102:E106)</f>
        <v>212900</v>
      </c>
      <c r="F101" s="229">
        <f>SUM(F102:F106)</f>
        <v>108632.61</v>
      </c>
      <c r="G101" s="219">
        <f t="shared" si="1"/>
        <v>51.025180836073275</v>
      </c>
    </row>
    <row r="102" spans="1:7">
      <c r="A102" s="870"/>
      <c r="B102" s="870"/>
      <c r="C102" s="195">
        <v>3030</v>
      </c>
      <c r="D102" s="221" t="s">
        <v>218</v>
      </c>
      <c r="E102" s="222">
        <v>194400</v>
      </c>
      <c r="F102" s="227">
        <v>95560</v>
      </c>
      <c r="G102" s="224">
        <f t="shared" si="1"/>
        <v>49.156378600823047</v>
      </c>
    </row>
    <row r="103" spans="1:7">
      <c r="A103" s="870"/>
      <c r="B103" s="870"/>
      <c r="C103" s="220">
        <v>4210</v>
      </c>
      <c r="D103" s="221" t="s">
        <v>227</v>
      </c>
      <c r="E103" s="222">
        <v>6500</v>
      </c>
      <c r="F103" s="227">
        <v>4746.78</v>
      </c>
      <c r="G103" s="224">
        <f t="shared" si="1"/>
        <v>73.027384615384619</v>
      </c>
    </row>
    <row r="104" spans="1:7">
      <c r="A104" s="870"/>
      <c r="B104" s="870"/>
      <c r="C104" s="220">
        <v>4300</v>
      </c>
      <c r="D104" s="221" t="s">
        <v>216</v>
      </c>
      <c r="E104" s="222">
        <v>6500</v>
      </c>
      <c r="F104" s="227">
        <v>5674.15</v>
      </c>
      <c r="G104" s="224">
        <f t="shared" si="1"/>
        <v>87.294615384615383</v>
      </c>
    </row>
    <row r="105" spans="1:7">
      <c r="A105" s="870"/>
      <c r="B105" s="870"/>
      <c r="C105" s="220">
        <v>4410</v>
      </c>
      <c r="D105" s="221" t="s">
        <v>234</v>
      </c>
      <c r="E105" s="222">
        <v>2000</v>
      </c>
      <c r="F105" s="227">
        <v>1168.77</v>
      </c>
      <c r="G105" s="224">
        <f t="shared" si="1"/>
        <v>58.438499999999998</v>
      </c>
    </row>
    <row r="106" spans="1:7">
      <c r="A106" s="870"/>
      <c r="B106" s="870"/>
      <c r="C106" s="195">
        <v>4420</v>
      </c>
      <c r="D106" s="221" t="s">
        <v>251</v>
      </c>
      <c r="E106" s="222">
        <v>3500</v>
      </c>
      <c r="F106" s="227">
        <v>1482.91</v>
      </c>
      <c r="G106" s="224">
        <f t="shared" si="1"/>
        <v>42.368857142857145</v>
      </c>
    </row>
    <row r="107" spans="1:7">
      <c r="A107" s="870"/>
      <c r="B107" s="226">
        <v>75020</v>
      </c>
      <c r="C107" s="226"/>
      <c r="D107" s="225" t="s">
        <v>92</v>
      </c>
      <c r="E107" s="217">
        <f>SUM(E108:E135)</f>
        <v>4679397</v>
      </c>
      <c r="F107" s="229">
        <f>SUM(F108:F135)</f>
        <v>2075032.2099999995</v>
      </c>
      <c r="G107" s="219">
        <f t="shared" si="1"/>
        <v>44.344008640429514</v>
      </c>
    </row>
    <row r="108" spans="1:7">
      <c r="A108" s="870"/>
      <c r="B108" s="773"/>
      <c r="C108" s="195">
        <v>3020</v>
      </c>
      <c r="D108" s="221" t="s">
        <v>221</v>
      </c>
      <c r="E108" s="222">
        <v>14000</v>
      </c>
      <c r="F108" s="227">
        <v>3023.3</v>
      </c>
      <c r="G108" s="224">
        <f t="shared" si="1"/>
        <v>21.594999999999999</v>
      </c>
    </row>
    <row r="109" spans="1:7">
      <c r="A109" s="870"/>
      <c r="B109" s="773"/>
      <c r="C109" s="220">
        <v>4010</v>
      </c>
      <c r="D109" s="221" t="s">
        <v>222</v>
      </c>
      <c r="E109" s="222">
        <v>2090650</v>
      </c>
      <c r="F109" s="227">
        <v>1042096.05</v>
      </c>
      <c r="G109" s="224">
        <f t="shared" si="1"/>
        <v>49.845552818501424</v>
      </c>
    </row>
    <row r="110" spans="1:7">
      <c r="A110" s="870"/>
      <c r="B110" s="773"/>
      <c r="C110" s="220">
        <v>4040</v>
      </c>
      <c r="D110" s="221" t="s">
        <v>223</v>
      </c>
      <c r="E110" s="222">
        <v>156814</v>
      </c>
      <c r="F110" s="227">
        <v>156813.79999999999</v>
      </c>
      <c r="G110" s="224">
        <f t="shared" si="1"/>
        <v>99.999872460367044</v>
      </c>
    </row>
    <row r="111" spans="1:7">
      <c r="A111" s="870"/>
      <c r="B111" s="773"/>
      <c r="C111" s="220">
        <v>4110</v>
      </c>
      <c r="D111" s="221" t="s">
        <v>224</v>
      </c>
      <c r="E111" s="222">
        <v>326111</v>
      </c>
      <c r="F111" s="227">
        <v>174854.22</v>
      </c>
      <c r="G111" s="224">
        <f t="shared" si="1"/>
        <v>53.618007365590245</v>
      </c>
    </row>
    <row r="112" spans="1:7">
      <c r="A112" s="870"/>
      <c r="B112" s="773"/>
      <c r="C112" s="220">
        <v>4120</v>
      </c>
      <c r="D112" s="221" t="s">
        <v>225</v>
      </c>
      <c r="E112" s="222">
        <v>52570</v>
      </c>
      <c r="F112" s="227">
        <v>28713.72</v>
      </c>
      <c r="G112" s="224">
        <f t="shared" si="1"/>
        <v>54.619973368841542</v>
      </c>
    </row>
    <row r="113" spans="1:7">
      <c r="A113" s="870"/>
      <c r="B113" s="773"/>
      <c r="C113" s="316">
        <v>4140</v>
      </c>
      <c r="D113" s="221" t="s">
        <v>278</v>
      </c>
      <c r="E113" s="222">
        <v>1500</v>
      </c>
      <c r="F113" s="227">
        <v>124</v>
      </c>
      <c r="G113" s="224">
        <f t="shared" si="1"/>
        <v>8.2666666666666675</v>
      </c>
    </row>
    <row r="114" spans="1:7">
      <c r="A114" s="870"/>
      <c r="B114" s="773"/>
      <c r="C114" s="220">
        <v>4170</v>
      </c>
      <c r="D114" s="221" t="s">
        <v>226</v>
      </c>
      <c r="E114" s="222">
        <v>77700</v>
      </c>
      <c r="F114" s="227">
        <v>57200</v>
      </c>
      <c r="G114" s="224">
        <f t="shared" si="1"/>
        <v>73.616473616473613</v>
      </c>
    </row>
    <row r="115" spans="1:7">
      <c r="A115" s="870"/>
      <c r="B115" s="773"/>
      <c r="C115" s="220">
        <v>4210</v>
      </c>
      <c r="D115" s="221" t="s">
        <v>227</v>
      </c>
      <c r="E115" s="222">
        <v>341245</v>
      </c>
      <c r="F115" s="227">
        <v>205889.12</v>
      </c>
      <c r="G115" s="224">
        <f t="shared" si="1"/>
        <v>60.334692083400491</v>
      </c>
    </row>
    <row r="116" spans="1:7">
      <c r="A116" s="870"/>
      <c r="B116" s="773"/>
      <c r="C116" s="220">
        <v>4260</v>
      </c>
      <c r="D116" s="221" t="s">
        <v>228</v>
      </c>
      <c r="E116" s="222">
        <v>78000</v>
      </c>
      <c r="F116" s="227">
        <v>40307.129999999997</v>
      </c>
      <c r="G116" s="224">
        <f t="shared" si="1"/>
        <v>51.675807692307686</v>
      </c>
    </row>
    <row r="117" spans="1:7">
      <c r="A117" s="870"/>
      <c r="B117" s="773"/>
      <c r="C117" s="220">
        <v>4270</v>
      </c>
      <c r="D117" s="221" t="s">
        <v>229</v>
      </c>
      <c r="E117" s="222">
        <v>50000</v>
      </c>
      <c r="F117" s="227">
        <v>7372.73</v>
      </c>
      <c r="G117" s="224">
        <f t="shared" si="1"/>
        <v>14.74546</v>
      </c>
    </row>
    <row r="118" spans="1:7">
      <c r="A118" s="870"/>
      <c r="B118" s="773"/>
      <c r="C118" s="220">
        <v>4280</v>
      </c>
      <c r="D118" s="221" t="s">
        <v>230</v>
      </c>
      <c r="E118" s="222">
        <v>1200</v>
      </c>
      <c r="F118" s="227">
        <v>468</v>
      </c>
      <c r="G118" s="224">
        <f t="shared" si="1"/>
        <v>39</v>
      </c>
    </row>
    <row r="119" spans="1:7">
      <c r="A119" s="870"/>
      <c r="B119" s="773"/>
      <c r="C119" s="220">
        <v>4300</v>
      </c>
      <c r="D119" s="221" t="s">
        <v>216</v>
      </c>
      <c r="E119" s="222">
        <v>360000</v>
      </c>
      <c r="F119" s="227">
        <v>184374.95</v>
      </c>
      <c r="G119" s="224">
        <f t="shared" si="1"/>
        <v>51.215263888888892</v>
      </c>
    </row>
    <row r="120" spans="1:7">
      <c r="A120" s="870"/>
      <c r="B120" s="773"/>
      <c r="C120" s="220">
        <v>4350</v>
      </c>
      <c r="D120" s="221" t="s">
        <v>231</v>
      </c>
      <c r="E120" s="222">
        <v>14000</v>
      </c>
      <c r="F120" s="227">
        <v>2565.66</v>
      </c>
      <c r="G120" s="224">
        <f t="shared" si="1"/>
        <v>18.326142857142859</v>
      </c>
    </row>
    <row r="121" spans="1:7">
      <c r="A121" s="870"/>
      <c r="B121" s="773"/>
      <c r="C121" s="220">
        <v>4360</v>
      </c>
      <c r="D121" s="221" t="s">
        <v>232</v>
      </c>
      <c r="E121" s="222">
        <v>26000</v>
      </c>
      <c r="F121" s="227">
        <v>13283.22</v>
      </c>
      <c r="G121" s="224">
        <f t="shared" si="1"/>
        <v>51.089307692307692</v>
      </c>
    </row>
    <row r="122" spans="1:7">
      <c r="A122" s="870"/>
      <c r="B122" s="773"/>
      <c r="C122" s="220">
        <v>4370</v>
      </c>
      <c r="D122" s="221" t="s">
        <v>233</v>
      </c>
      <c r="E122" s="222">
        <v>24000</v>
      </c>
      <c r="F122" s="227">
        <v>11584.4</v>
      </c>
      <c r="G122" s="224">
        <f t="shared" si="1"/>
        <v>48.268333333333331</v>
      </c>
    </row>
    <row r="123" spans="1:7">
      <c r="A123" s="870"/>
      <c r="B123" s="773"/>
      <c r="C123" s="220">
        <v>4380</v>
      </c>
      <c r="D123" s="221" t="s">
        <v>252</v>
      </c>
      <c r="E123" s="222">
        <v>3000</v>
      </c>
      <c r="F123" s="227">
        <v>1000.4</v>
      </c>
      <c r="G123" s="224">
        <f t="shared" si="1"/>
        <v>33.346666666666664</v>
      </c>
    </row>
    <row r="124" spans="1:7" ht="22.5">
      <c r="A124" s="870"/>
      <c r="B124" s="773"/>
      <c r="C124" s="220">
        <v>4400</v>
      </c>
      <c r="D124" s="230" t="s">
        <v>249</v>
      </c>
      <c r="E124" s="222">
        <v>11000</v>
      </c>
      <c r="F124" s="227">
        <v>4438.26</v>
      </c>
      <c r="G124" s="224">
        <f t="shared" si="1"/>
        <v>40.347818181818184</v>
      </c>
    </row>
    <row r="125" spans="1:7">
      <c r="A125" s="870"/>
      <c r="B125" s="773"/>
      <c r="C125" s="220">
        <v>4410</v>
      </c>
      <c r="D125" s="221" t="s">
        <v>234</v>
      </c>
      <c r="E125" s="222">
        <v>47348</v>
      </c>
      <c r="F125" s="227">
        <v>26220.560000000001</v>
      </c>
      <c r="G125" s="224">
        <f t="shared" si="1"/>
        <v>55.378389794711495</v>
      </c>
    </row>
    <row r="126" spans="1:7">
      <c r="A126" s="870"/>
      <c r="B126" s="773"/>
      <c r="C126" s="195">
        <v>4420</v>
      </c>
      <c r="D126" s="221" t="s">
        <v>251</v>
      </c>
      <c r="E126" s="222">
        <v>5000</v>
      </c>
      <c r="F126" s="227">
        <v>4024.72</v>
      </c>
      <c r="G126" s="224">
        <f t="shared" si="1"/>
        <v>80.494399999999999</v>
      </c>
    </row>
    <row r="127" spans="1:7">
      <c r="A127" s="870"/>
      <c r="B127" s="773"/>
      <c r="C127" s="220">
        <v>4430</v>
      </c>
      <c r="D127" s="221" t="s">
        <v>235</v>
      </c>
      <c r="E127" s="222">
        <v>18000</v>
      </c>
      <c r="F127" s="227">
        <v>5818.04</v>
      </c>
      <c r="G127" s="224">
        <f t="shared" si="1"/>
        <v>32.322444444444443</v>
      </c>
    </row>
    <row r="128" spans="1:7">
      <c r="A128" s="870"/>
      <c r="B128" s="773"/>
      <c r="C128" s="220">
        <v>4440</v>
      </c>
      <c r="D128" s="221" t="s">
        <v>236</v>
      </c>
      <c r="E128" s="222">
        <v>62908</v>
      </c>
      <c r="F128" s="227">
        <v>45915</v>
      </c>
      <c r="G128" s="224">
        <f t="shared" si="1"/>
        <v>72.987537356139129</v>
      </c>
    </row>
    <row r="129" spans="1:7">
      <c r="A129" s="870"/>
      <c r="B129" s="773"/>
      <c r="C129" s="220">
        <v>4590</v>
      </c>
      <c r="D129" s="221" t="s">
        <v>339</v>
      </c>
      <c r="E129" s="222">
        <v>762</v>
      </c>
      <c r="F129" s="227">
        <v>760</v>
      </c>
      <c r="G129" s="224">
        <f t="shared" si="1"/>
        <v>99.737532808398953</v>
      </c>
    </row>
    <row r="130" spans="1:7">
      <c r="A130" s="870"/>
      <c r="B130" s="773"/>
      <c r="C130" s="316">
        <v>4610</v>
      </c>
      <c r="D130" s="221" t="s">
        <v>217</v>
      </c>
      <c r="E130" s="222">
        <v>700</v>
      </c>
      <c r="F130" s="227">
        <v>199.27</v>
      </c>
      <c r="G130" s="224">
        <f t="shared" si="1"/>
        <v>28.467142857142857</v>
      </c>
    </row>
    <row r="131" spans="1:7">
      <c r="A131" s="870"/>
      <c r="B131" s="773"/>
      <c r="C131" s="220">
        <v>4700</v>
      </c>
      <c r="D131" s="221" t="s">
        <v>239</v>
      </c>
      <c r="E131" s="222">
        <v>13000</v>
      </c>
      <c r="F131" s="227">
        <v>9146</v>
      </c>
      <c r="G131" s="224">
        <f t="shared" si="1"/>
        <v>70.353846153846149</v>
      </c>
    </row>
    <row r="132" spans="1:7">
      <c r="A132" s="870"/>
      <c r="B132" s="773"/>
      <c r="C132" s="220">
        <v>4740</v>
      </c>
      <c r="D132" s="221" t="s">
        <v>240</v>
      </c>
      <c r="E132" s="222">
        <v>12000</v>
      </c>
      <c r="F132" s="227">
        <v>4313.68</v>
      </c>
      <c r="G132" s="224">
        <f t="shared" si="1"/>
        <v>35.947333333333333</v>
      </c>
    </row>
    <row r="133" spans="1:7">
      <c r="A133" s="870"/>
      <c r="B133" s="773"/>
      <c r="C133" s="220">
        <v>4750</v>
      </c>
      <c r="D133" s="221" t="s">
        <v>241</v>
      </c>
      <c r="E133" s="222">
        <v>41268</v>
      </c>
      <c r="F133" s="227">
        <v>40270.980000000003</v>
      </c>
      <c r="G133" s="224">
        <f t="shared" si="1"/>
        <v>97.584036056993327</v>
      </c>
    </row>
    <row r="134" spans="1:7">
      <c r="A134" s="870"/>
      <c r="B134" s="773"/>
      <c r="C134" s="316">
        <v>6050</v>
      </c>
      <c r="D134" s="221" t="s">
        <v>242</v>
      </c>
      <c r="E134" s="222">
        <v>846366</v>
      </c>
      <c r="F134" s="227">
        <v>0</v>
      </c>
      <c r="G134" s="224">
        <f t="shared" si="1"/>
        <v>0</v>
      </c>
    </row>
    <row r="135" spans="1:7" ht="45">
      <c r="A135" s="870"/>
      <c r="B135" s="773"/>
      <c r="C135" s="220">
        <v>6650</v>
      </c>
      <c r="D135" s="231" t="s">
        <v>253</v>
      </c>
      <c r="E135" s="222">
        <v>4255</v>
      </c>
      <c r="F135" s="227">
        <v>4255</v>
      </c>
      <c r="G135" s="224">
        <f t="shared" si="1"/>
        <v>100</v>
      </c>
    </row>
    <row r="136" spans="1:7">
      <c r="A136" s="870"/>
      <c r="B136" s="226">
        <v>75045</v>
      </c>
      <c r="C136" s="226"/>
      <c r="D136" s="225" t="s">
        <v>93</v>
      </c>
      <c r="E136" s="217">
        <f>SUM(E137:E143)</f>
        <v>18000</v>
      </c>
      <c r="F136" s="229">
        <f>SUM(F137:F143)</f>
        <v>15998.710000000001</v>
      </c>
      <c r="G136" s="219">
        <f t="shared" si="1"/>
        <v>88.881722222222223</v>
      </c>
    </row>
    <row r="137" spans="1:7">
      <c r="A137" s="870"/>
      <c r="B137" s="754"/>
      <c r="C137" s="220">
        <v>4110</v>
      </c>
      <c r="D137" s="221" t="s">
        <v>224</v>
      </c>
      <c r="E137" s="222">
        <v>333</v>
      </c>
      <c r="F137" s="227">
        <v>332.2</v>
      </c>
      <c r="G137" s="224">
        <f t="shared" si="1"/>
        <v>99.75975975975976</v>
      </c>
    </row>
    <row r="138" spans="1:7">
      <c r="A138" s="870"/>
      <c r="B138" s="755"/>
      <c r="C138" s="220">
        <v>4120</v>
      </c>
      <c r="D138" s="221" t="s">
        <v>225</v>
      </c>
      <c r="E138" s="222">
        <v>54</v>
      </c>
      <c r="F138" s="227">
        <v>53.9</v>
      </c>
      <c r="G138" s="224">
        <f t="shared" si="1"/>
        <v>99.81481481481481</v>
      </c>
    </row>
    <row r="139" spans="1:7">
      <c r="A139" s="870"/>
      <c r="B139" s="755"/>
      <c r="C139" s="220">
        <v>4170</v>
      </c>
      <c r="D139" s="221" t="s">
        <v>226</v>
      </c>
      <c r="E139" s="222">
        <v>10960</v>
      </c>
      <c r="F139" s="227">
        <v>10960</v>
      </c>
      <c r="G139" s="224">
        <f t="shared" si="1"/>
        <v>100</v>
      </c>
    </row>
    <row r="140" spans="1:7">
      <c r="A140" s="870"/>
      <c r="B140" s="755"/>
      <c r="C140" s="220">
        <v>4210</v>
      </c>
      <c r="D140" s="221" t="s">
        <v>227</v>
      </c>
      <c r="E140" s="222">
        <v>440</v>
      </c>
      <c r="F140" s="227">
        <v>439.61</v>
      </c>
      <c r="G140" s="224">
        <f t="shared" si="1"/>
        <v>99.911363636363632</v>
      </c>
    </row>
    <row r="141" spans="1:7">
      <c r="A141" s="870"/>
      <c r="B141" s="755"/>
      <c r="C141" s="220">
        <v>4280</v>
      </c>
      <c r="D141" s="221" t="s">
        <v>230</v>
      </c>
      <c r="E141" s="222">
        <v>2000</v>
      </c>
      <c r="F141" s="227"/>
      <c r="G141" s="224">
        <f t="shared" si="1"/>
        <v>0</v>
      </c>
    </row>
    <row r="142" spans="1:7">
      <c r="A142" s="870"/>
      <c r="B142" s="755"/>
      <c r="C142" s="220">
        <v>4300</v>
      </c>
      <c r="D142" s="221" t="s">
        <v>216</v>
      </c>
      <c r="E142" s="222">
        <v>2113</v>
      </c>
      <c r="F142" s="227">
        <v>2113</v>
      </c>
      <c r="G142" s="224">
        <f t="shared" si="1"/>
        <v>100</v>
      </c>
    </row>
    <row r="143" spans="1:7" ht="22.5">
      <c r="A143" s="870"/>
      <c r="B143" s="755"/>
      <c r="C143" s="220">
        <v>4400</v>
      </c>
      <c r="D143" s="230" t="s">
        <v>249</v>
      </c>
      <c r="E143" s="222">
        <v>2100</v>
      </c>
      <c r="F143" s="227">
        <v>2100</v>
      </c>
      <c r="G143" s="224">
        <f t="shared" si="1"/>
        <v>100</v>
      </c>
    </row>
    <row r="144" spans="1:7">
      <c r="A144" s="870"/>
      <c r="B144" s="226">
        <v>75075</v>
      </c>
      <c r="C144" s="215"/>
      <c r="D144" s="232" t="s">
        <v>161</v>
      </c>
      <c r="E144" s="217">
        <f>SUM(E145:E147)</f>
        <v>85000</v>
      </c>
      <c r="F144" s="229">
        <f>SUM(F145:F147)</f>
        <v>53674.9</v>
      </c>
      <c r="G144" s="219">
        <f t="shared" si="1"/>
        <v>63.146941176470591</v>
      </c>
    </row>
    <row r="145" spans="1:7">
      <c r="A145" s="871"/>
      <c r="B145" s="754"/>
      <c r="C145" s="233">
        <v>4210</v>
      </c>
      <c r="D145" s="221" t="s">
        <v>227</v>
      </c>
      <c r="E145" s="222">
        <v>30000</v>
      </c>
      <c r="F145" s="227">
        <v>21310.33</v>
      </c>
      <c r="G145" s="224">
        <f t="shared" si="1"/>
        <v>71.03443333333334</v>
      </c>
    </row>
    <row r="146" spans="1:7">
      <c r="A146" s="871"/>
      <c r="B146" s="755"/>
      <c r="C146" s="233">
        <v>4300</v>
      </c>
      <c r="D146" s="221" t="s">
        <v>216</v>
      </c>
      <c r="E146" s="222">
        <v>50330</v>
      </c>
      <c r="F146" s="227">
        <v>27694.57</v>
      </c>
      <c r="G146" s="224">
        <f t="shared" si="1"/>
        <v>55.025968607192532</v>
      </c>
    </row>
    <row r="147" spans="1:7">
      <c r="A147" s="871"/>
      <c r="B147" s="756"/>
      <c r="C147" s="316">
        <v>6060</v>
      </c>
      <c r="D147" s="221" t="s">
        <v>243</v>
      </c>
      <c r="E147" s="222">
        <v>4670</v>
      </c>
      <c r="F147" s="227">
        <v>4670</v>
      </c>
      <c r="G147" s="224">
        <f t="shared" si="1"/>
        <v>100</v>
      </c>
    </row>
    <row r="148" spans="1:7">
      <c r="A148" s="870"/>
      <c r="B148" s="234">
        <v>75095</v>
      </c>
      <c r="C148" s="226"/>
      <c r="D148" s="225" t="s">
        <v>89</v>
      </c>
      <c r="E148" s="217">
        <f>SUM(E149:E150)</f>
        <v>121356</v>
      </c>
      <c r="F148" s="229">
        <f>SUM(F149:F150)</f>
        <v>97159.44</v>
      </c>
      <c r="G148" s="219">
        <f t="shared" si="1"/>
        <v>80.061504993572626</v>
      </c>
    </row>
    <row r="149" spans="1:7">
      <c r="A149" s="870"/>
      <c r="B149" s="773"/>
      <c r="C149" s="195">
        <v>2900</v>
      </c>
      <c r="D149" s="221" t="s">
        <v>253</v>
      </c>
      <c r="E149" s="222">
        <v>1356</v>
      </c>
      <c r="F149" s="227">
        <v>1356</v>
      </c>
      <c r="G149" s="224">
        <f t="shared" si="1"/>
        <v>100</v>
      </c>
    </row>
    <row r="150" spans="1:7">
      <c r="A150" s="870"/>
      <c r="B150" s="773"/>
      <c r="C150" s="195">
        <v>4430</v>
      </c>
      <c r="D150" s="221" t="s">
        <v>235</v>
      </c>
      <c r="E150" s="222">
        <v>120000</v>
      </c>
      <c r="F150" s="227">
        <v>95803.44</v>
      </c>
      <c r="G150" s="224">
        <f t="shared" ref="G150:G226" si="2">F150*100/E150</f>
        <v>79.836200000000005</v>
      </c>
    </row>
    <row r="151" spans="1:7">
      <c r="A151" s="235">
        <v>754</v>
      </c>
      <c r="B151" s="235"/>
      <c r="C151" s="235"/>
      <c r="D151" s="236" t="s">
        <v>254</v>
      </c>
      <c r="E151" s="237">
        <f>E155+E152+E184+E186</f>
        <v>2866523</v>
      </c>
      <c r="F151" s="238">
        <f>F155+F152+F184+F186</f>
        <v>1461291.87</v>
      </c>
      <c r="G151" s="214">
        <f t="shared" si="2"/>
        <v>50.977852610985501</v>
      </c>
    </row>
    <row r="152" spans="1:7" s="42" customFormat="1">
      <c r="A152" s="872"/>
      <c r="B152" s="320">
        <v>75405</v>
      </c>
      <c r="C152" s="320"/>
      <c r="D152" s="328" t="s">
        <v>353</v>
      </c>
      <c r="E152" s="329">
        <f>E153+E154</f>
        <v>80000</v>
      </c>
      <c r="F152" s="288">
        <f>F153+F154</f>
        <v>80000</v>
      </c>
      <c r="G152" s="219">
        <f t="shared" si="2"/>
        <v>100</v>
      </c>
    </row>
    <row r="153" spans="1:7" s="42" customFormat="1">
      <c r="A153" s="873"/>
      <c r="B153" s="872"/>
      <c r="C153" s="313">
        <v>3000</v>
      </c>
      <c r="D153" s="330" t="s">
        <v>340</v>
      </c>
      <c r="E153" s="277">
        <v>20000</v>
      </c>
      <c r="F153" s="278">
        <v>20000</v>
      </c>
      <c r="G153" s="224">
        <f t="shared" si="2"/>
        <v>100</v>
      </c>
    </row>
    <row r="154" spans="1:7" s="42" customFormat="1">
      <c r="A154" s="873"/>
      <c r="B154" s="874"/>
      <c r="C154" s="313">
        <v>6170</v>
      </c>
      <c r="D154" s="330" t="s">
        <v>341</v>
      </c>
      <c r="E154" s="277">
        <v>60000</v>
      </c>
      <c r="F154" s="278">
        <v>60000</v>
      </c>
      <c r="G154" s="224">
        <f t="shared" si="2"/>
        <v>100</v>
      </c>
    </row>
    <row r="155" spans="1:7">
      <c r="A155" s="873"/>
      <c r="B155" s="226">
        <v>75411</v>
      </c>
      <c r="C155" s="226"/>
      <c r="D155" s="225" t="s">
        <v>255</v>
      </c>
      <c r="E155" s="217">
        <f>+SUM(E156:E183)</f>
        <v>2686923</v>
      </c>
      <c r="F155" s="229">
        <f>+SUM(F156:F183)</f>
        <v>1337581.55</v>
      </c>
      <c r="G155" s="219">
        <f t="shared" si="2"/>
        <v>49.781164179248904</v>
      </c>
    </row>
    <row r="156" spans="1:7" ht="22.5">
      <c r="A156" s="873"/>
      <c r="B156" s="754"/>
      <c r="C156" s="195">
        <v>3070</v>
      </c>
      <c r="D156" s="230" t="s">
        <v>256</v>
      </c>
      <c r="E156" s="222">
        <v>136115</v>
      </c>
      <c r="F156" s="227">
        <v>51509.279999999999</v>
      </c>
      <c r="G156" s="224">
        <f t="shared" si="2"/>
        <v>37.84247143959152</v>
      </c>
    </row>
    <row r="157" spans="1:7">
      <c r="A157" s="873"/>
      <c r="B157" s="755"/>
      <c r="C157" s="220">
        <v>4020</v>
      </c>
      <c r="D157" s="221" t="s">
        <v>257</v>
      </c>
      <c r="E157" s="222">
        <v>25575</v>
      </c>
      <c r="F157" s="227">
        <v>15423.98</v>
      </c>
      <c r="G157" s="224">
        <f t="shared" si="2"/>
        <v>60.308817204301079</v>
      </c>
    </row>
    <row r="158" spans="1:7">
      <c r="A158" s="873"/>
      <c r="B158" s="755"/>
      <c r="C158" s="220">
        <v>4040</v>
      </c>
      <c r="D158" s="221" t="s">
        <v>258</v>
      </c>
      <c r="E158" s="222">
        <v>1870</v>
      </c>
      <c r="F158" s="227">
        <v>1869.87</v>
      </c>
      <c r="G158" s="224">
        <f t="shared" si="2"/>
        <v>99.993048128342252</v>
      </c>
    </row>
    <row r="159" spans="1:7">
      <c r="A159" s="873"/>
      <c r="B159" s="755"/>
      <c r="C159" s="220">
        <v>4050</v>
      </c>
      <c r="D159" s="221" t="s">
        <v>259</v>
      </c>
      <c r="E159" s="222">
        <v>1774035</v>
      </c>
      <c r="F159" s="227">
        <v>857085.74</v>
      </c>
      <c r="G159" s="224">
        <f t="shared" si="2"/>
        <v>48.312786388092682</v>
      </c>
    </row>
    <row r="160" spans="1:7">
      <c r="A160" s="873"/>
      <c r="B160" s="755"/>
      <c r="C160" s="220">
        <v>4060</v>
      </c>
      <c r="D160" s="221" t="s">
        <v>260</v>
      </c>
      <c r="E160" s="222">
        <v>243870</v>
      </c>
      <c r="F160" s="227">
        <v>93892.45</v>
      </c>
      <c r="G160" s="224">
        <f t="shared" si="2"/>
        <v>38.501025136343131</v>
      </c>
    </row>
    <row r="161" spans="1:7">
      <c r="A161" s="873"/>
      <c r="B161" s="755"/>
      <c r="C161" s="220">
        <v>4070</v>
      </c>
      <c r="D161" s="221" t="s">
        <v>261</v>
      </c>
      <c r="E161" s="222">
        <v>147777</v>
      </c>
      <c r="F161" s="227">
        <v>114837.8</v>
      </c>
      <c r="G161" s="224">
        <f t="shared" si="2"/>
        <v>77.710198474728813</v>
      </c>
    </row>
    <row r="162" spans="1:7" ht="33.75">
      <c r="A162" s="873"/>
      <c r="B162" s="755"/>
      <c r="C162" s="220">
        <v>4080</v>
      </c>
      <c r="D162" s="230" t="s">
        <v>262</v>
      </c>
      <c r="E162" s="222">
        <v>40000</v>
      </c>
      <c r="F162" s="227">
        <v>6465</v>
      </c>
      <c r="G162" s="224">
        <f t="shared" si="2"/>
        <v>16.162500000000001</v>
      </c>
    </row>
    <row r="163" spans="1:7">
      <c r="A163" s="873"/>
      <c r="B163" s="755"/>
      <c r="C163" s="220">
        <v>4110</v>
      </c>
      <c r="D163" s="221" t="s">
        <v>224</v>
      </c>
      <c r="E163" s="222">
        <v>5208</v>
      </c>
      <c r="F163" s="227">
        <v>2777.36</v>
      </c>
      <c r="G163" s="224">
        <f t="shared" si="2"/>
        <v>53.32872503840246</v>
      </c>
    </row>
    <row r="164" spans="1:7">
      <c r="A164" s="873"/>
      <c r="B164" s="755"/>
      <c r="C164" s="220">
        <v>4120</v>
      </c>
      <c r="D164" s="221" t="s">
        <v>225</v>
      </c>
      <c r="E164" s="222">
        <v>795</v>
      </c>
      <c r="F164" s="227">
        <v>423.71</v>
      </c>
      <c r="G164" s="224">
        <f t="shared" si="2"/>
        <v>53.296855345911951</v>
      </c>
    </row>
    <row r="165" spans="1:7">
      <c r="A165" s="873"/>
      <c r="B165" s="755"/>
      <c r="C165" s="220">
        <v>4170</v>
      </c>
      <c r="D165" s="221" t="s">
        <v>226</v>
      </c>
      <c r="E165" s="222">
        <v>2757</v>
      </c>
      <c r="F165" s="227">
        <v>0</v>
      </c>
      <c r="G165" s="224">
        <f t="shared" si="2"/>
        <v>0</v>
      </c>
    </row>
    <row r="166" spans="1:7">
      <c r="A166" s="873"/>
      <c r="B166" s="755"/>
      <c r="C166" s="220">
        <v>4180</v>
      </c>
      <c r="D166" s="221" t="s">
        <v>263</v>
      </c>
      <c r="E166" s="222">
        <v>83734</v>
      </c>
      <c r="F166" s="227">
        <v>83733.84</v>
      </c>
      <c r="G166" s="224">
        <f t="shared" si="2"/>
        <v>99.999808918718799</v>
      </c>
    </row>
    <row r="167" spans="1:7">
      <c r="A167" s="873"/>
      <c r="B167" s="755"/>
      <c r="C167" s="220">
        <v>4210</v>
      </c>
      <c r="D167" s="221" t="s">
        <v>227</v>
      </c>
      <c r="E167" s="222">
        <v>91686</v>
      </c>
      <c r="F167" s="227">
        <v>42136.29</v>
      </c>
      <c r="G167" s="224">
        <f t="shared" si="2"/>
        <v>45.957169033440223</v>
      </c>
    </row>
    <row r="168" spans="1:7">
      <c r="A168" s="873"/>
      <c r="B168" s="755"/>
      <c r="C168" s="220">
        <v>4250</v>
      </c>
      <c r="D168" s="221" t="s">
        <v>264</v>
      </c>
      <c r="E168" s="222">
        <v>5000</v>
      </c>
      <c r="F168" s="227">
        <v>0</v>
      </c>
      <c r="G168" s="224">
        <f t="shared" si="2"/>
        <v>0</v>
      </c>
    </row>
    <row r="169" spans="1:7">
      <c r="A169" s="873"/>
      <c r="B169" s="755"/>
      <c r="C169" s="220">
        <v>4260</v>
      </c>
      <c r="D169" s="221" t="s">
        <v>228</v>
      </c>
      <c r="E169" s="222">
        <v>34000</v>
      </c>
      <c r="F169" s="227">
        <v>23933.98</v>
      </c>
      <c r="G169" s="224">
        <f t="shared" si="2"/>
        <v>70.394058823529406</v>
      </c>
    </row>
    <row r="170" spans="1:7">
      <c r="A170" s="873"/>
      <c r="B170" s="755"/>
      <c r="C170" s="220">
        <v>4270</v>
      </c>
      <c r="D170" s="221" t="s">
        <v>229</v>
      </c>
      <c r="E170" s="222">
        <v>35000</v>
      </c>
      <c r="F170" s="227">
        <v>16835.53</v>
      </c>
      <c r="G170" s="224">
        <f t="shared" si="2"/>
        <v>48.101514285714288</v>
      </c>
    </row>
    <row r="171" spans="1:7">
      <c r="A171" s="873"/>
      <c r="B171" s="755"/>
      <c r="C171" s="220">
        <v>4280</v>
      </c>
      <c r="D171" s="221" t="s">
        <v>230</v>
      </c>
      <c r="E171" s="222">
        <v>11500</v>
      </c>
      <c r="F171" s="227">
        <v>511</v>
      </c>
      <c r="G171" s="224">
        <f t="shared" si="2"/>
        <v>4.4434782608695649</v>
      </c>
    </row>
    <row r="172" spans="1:7">
      <c r="A172" s="873"/>
      <c r="B172" s="755"/>
      <c r="C172" s="220">
        <v>4300</v>
      </c>
      <c r="D172" s="221" t="s">
        <v>216</v>
      </c>
      <c r="E172" s="222">
        <v>18137</v>
      </c>
      <c r="F172" s="227">
        <v>12583.64</v>
      </c>
      <c r="G172" s="224">
        <f t="shared" si="2"/>
        <v>69.381044274135746</v>
      </c>
    </row>
    <row r="173" spans="1:7">
      <c r="A173" s="873"/>
      <c r="B173" s="755"/>
      <c r="C173" s="220">
        <v>4350</v>
      </c>
      <c r="D173" s="221" t="s">
        <v>231</v>
      </c>
      <c r="E173" s="222">
        <v>1449</v>
      </c>
      <c r="F173" s="227">
        <v>724.68</v>
      </c>
      <c r="G173" s="224">
        <f t="shared" si="2"/>
        <v>50.012422360248451</v>
      </c>
    </row>
    <row r="174" spans="1:7">
      <c r="A174" s="873"/>
      <c r="B174" s="755"/>
      <c r="C174" s="220">
        <v>4360</v>
      </c>
      <c r="D174" s="221" t="s">
        <v>232</v>
      </c>
      <c r="E174" s="222">
        <v>4300</v>
      </c>
      <c r="F174" s="227">
        <v>1982.7</v>
      </c>
      <c r="G174" s="224">
        <f t="shared" si="2"/>
        <v>46.109302325581396</v>
      </c>
    </row>
    <row r="175" spans="1:7">
      <c r="A175" s="873"/>
      <c r="B175" s="755"/>
      <c r="C175" s="220">
        <v>4370</v>
      </c>
      <c r="D175" s="221" t="s">
        <v>233</v>
      </c>
      <c r="E175" s="222">
        <v>5400</v>
      </c>
      <c r="F175" s="227">
        <v>2428.89</v>
      </c>
      <c r="G175" s="224">
        <f t="shared" si="2"/>
        <v>44.979444444444447</v>
      </c>
    </row>
    <row r="176" spans="1:7">
      <c r="A176" s="873"/>
      <c r="B176" s="755"/>
      <c r="C176" s="220">
        <v>4410</v>
      </c>
      <c r="D176" s="221" t="s">
        <v>234</v>
      </c>
      <c r="E176" s="222">
        <v>4500</v>
      </c>
      <c r="F176" s="227">
        <v>1279.55</v>
      </c>
      <c r="G176" s="224">
        <f t="shared" si="2"/>
        <v>28.434444444444445</v>
      </c>
    </row>
    <row r="177" spans="1:7">
      <c r="A177" s="873"/>
      <c r="B177" s="755"/>
      <c r="C177" s="220">
        <v>4430</v>
      </c>
      <c r="D177" s="221" t="s">
        <v>235</v>
      </c>
      <c r="E177" s="222">
        <v>1500</v>
      </c>
      <c r="F177" s="227">
        <v>0</v>
      </c>
      <c r="G177" s="224">
        <f t="shared" si="2"/>
        <v>0</v>
      </c>
    </row>
    <row r="178" spans="1:7">
      <c r="A178" s="873"/>
      <c r="B178" s="755"/>
      <c r="C178" s="220">
        <v>4440</v>
      </c>
      <c r="D178" s="221" t="s">
        <v>236</v>
      </c>
      <c r="E178" s="222">
        <v>907</v>
      </c>
      <c r="F178" s="227">
        <v>805</v>
      </c>
      <c r="G178" s="224">
        <f t="shared" si="2"/>
        <v>88.754134509371553</v>
      </c>
    </row>
    <row r="179" spans="1:7">
      <c r="A179" s="873"/>
      <c r="B179" s="755"/>
      <c r="C179" s="220">
        <v>4480</v>
      </c>
      <c r="D179" s="221" t="s">
        <v>237</v>
      </c>
      <c r="E179" s="222">
        <v>7253</v>
      </c>
      <c r="F179" s="227">
        <v>3626.54</v>
      </c>
      <c r="G179" s="224">
        <f t="shared" si="2"/>
        <v>50.000551495932719</v>
      </c>
    </row>
    <row r="180" spans="1:7">
      <c r="A180" s="873"/>
      <c r="B180" s="755"/>
      <c r="C180" s="220">
        <v>4500</v>
      </c>
      <c r="D180" s="221" t="s">
        <v>265</v>
      </c>
      <c r="E180" s="222">
        <v>810</v>
      </c>
      <c r="F180" s="227">
        <v>810</v>
      </c>
      <c r="G180" s="224">
        <f t="shared" si="2"/>
        <v>100</v>
      </c>
    </row>
    <row r="181" spans="1:7">
      <c r="A181" s="873"/>
      <c r="B181" s="755"/>
      <c r="C181" s="220">
        <v>4510</v>
      </c>
      <c r="D181" s="221" t="s">
        <v>245</v>
      </c>
      <c r="E181" s="222">
        <v>145</v>
      </c>
      <c r="F181" s="227">
        <v>145.33000000000001</v>
      </c>
      <c r="G181" s="224">
        <f t="shared" si="2"/>
        <v>100.22758620689656</v>
      </c>
    </row>
    <row r="182" spans="1:7">
      <c r="A182" s="873"/>
      <c r="B182" s="755"/>
      <c r="C182" s="220">
        <v>4740</v>
      </c>
      <c r="D182" s="221" t="s">
        <v>240</v>
      </c>
      <c r="E182" s="222">
        <v>1100</v>
      </c>
      <c r="F182" s="227">
        <v>568.85</v>
      </c>
      <c r="G182" s="224">
        <f t="shared" si="2"/>
        <v>51.713636363636361</v>
      </c>
    </row>
    <row r="183" spans="1:7">
      <c r="A183" s="873"/>
      <c r="B183" s="755"/>
      <c r="C183" s="317">
        <v>4750</v>
      </c>
      <c r="D183" s="331" t="s">
        <v>241</v>
      </c>
      <c r="E183" s="260">
        <v>2500</v>
      </c>
      <c r="F183" s="227">
        <v>1190.54</v>
      </c>
      <c r="G183" s="224">
        <f t="shared" si="2"/>
        <v>47.621600000000001</v>
      </c>
    </row>
    <row r="184" spans="1:7">
      <c r="A184" s="368"/>
      <c r="B184" s="319">
        <v>75412</v>
      </c>
      <c r="C184" s="215"/>
      <c r="D184" s="88" t="s">
        <v>322</v>
      </c>
      <c r="E184" s="217">
        <v>35000</v>
      </c>
      <c r="F184" s="229">
        <f>F185</f>
        <v>35000</v>
      </c>
      <c r="G184" s="219">
        <f t="shared" si="2"/>
        <v>100</v>
      </c>
    </row>
    <row r="185" spans="1:7">
      <c r="A185" s="368"/>
      <c r="B185" s="312"/>
      <c r="C185" s="318">
        <v>2710</v>
      </c>
      <c r="D185" s="332" t="s">
        <v>342</v>
      </c>
      <c r="E185" s="277">
        <v>35000</v>
      </c>
      <c r="F185" s="227">
        <v>35000</v>
      </c>
      <c r="G185" s="224">
        <f t="shared" si="2"/>
        <v>100</v>
      </c>
    </row>
    <row r="186" spans="1:7">
      <c r="A186" s="368"/>
      <c r="B186" s="319">
        <v>75421</v>
      </c>
      <c r="C186" s="215"/>
      <c r="D186" s="225" t="s">
        <v>310</v>
      </c>
      <c r="E186" s="217">
        <f>E187+E188+E189</f>
        <v>64600</v>
      </c>
      <c r="F186" s="229">
        <f>F187+F188+F189</f>
        <v>8710.32</v>
      </c>
      <c r="G186" s="219">
        <f t="shared" si="2"/>
        <v>13.483467492260061</v>
      </c>
    </row>
    <row r="187" spans="1:7">
      <c r="A187" s="368"/>
      <c r="B187" s="312"/>
      <c r="C187" s="316">
        <v>4210</v>
      </c>
      <c r="D187" s="221" t="s">
        <v>227</v>
      </c>
      <c r="E187" s="222">
        <v>11600</v>
      </c>
      <c r="F187" s="227">
        <v>7110.32</v>
      </c>
      <c r="G187" s="224">
        <f t="shared" si="2"/>
        <v>61.295862068965519</v>
      </c>
    </row>
    <row r="188" spans="1:7">
      <c r="A188" s="368"/>
      <c r="B188" s="312"/>
      <c r="C188" s="316">
        <v>4300</v>
      </c>
      <c r="D188" s="221" t="s">
        <v>343</v>
      </c>
      <c r="E188" s="222">
        <v>3000</v>
      </c>
      <c r="F188" s="227">
        <v>1600</v>
      </c>
      <c r="G188" s="224">
        <f t="shared" si="2"/>
        <v>53.333333333333336</v>
      </c>
    </row>
    <row r="189" spans="1:7">
      <c r="A189" s="368"/>
      <c r="B189" s="312"/>
      <c r="C189" s="316">
        <v>4810</v>
      </c>
      <c r="D189" s="221" t="s">
        <v>220</v>
      </c>
      <c r="E189" s="222">
        <v>50000</v>
      </c>
      <c r="F189" s="227">
        <v>0</v>
      </c>
      <c r="G189" s="224">
        <f t="shared" si="2"/>
        <v>0</v>
      </c>
    </row>
    <row r="190" spans="1:7">
      <c r="A190" s="210">
        <v>757</v>
      </c>
      <c r="B190" s="210"/>
      <c r="C190" s="210"/>
      <c r="D190" s="211" t="s">
        <v>126</v>
      </c>
      <c r="E190" s="212">
        <f>E191</f>
        <v>343158</v>
      </c>
      <c r="F190" s="228">
        <f>F191</f>
        <v>202689.35</v>
      </c>
      <c r="G190" s="214">
        <f t="shared" si="2"/>
        <v>59.065896758927373</v>
      </c>
    </row>
    <row r="191" spans="1:7">
      <c r="A191" s="773"/>
      <c r="B191" s="226">
        <v>75702</v>
      </c>
      <c r="C191" s="226"/>
      <c r="D191" s="225" t="s">
        <v>266</v>
      </c>
      <c r="E191" s="217">
        <f>E192+E193</f>
        <v>343158</v>
      </c>
      <c r="F191" s="229">
        <f>F192+F193</f>
        <v>202689.35</v>
      </c>
      <c r="G191" s="219">
        <f t="shared" si="2"/>
        <v>59.065896758927373</v>
      </c>
    </row>
    <row r="192" spans="1:7">
      <c r="A192" s="773"/>
      <c r="B192" s="773"/>
      <c r="C192" s="195">
        <v>8070</v>
      </c>
      <c r="D192" s="221" t="s">
        <v>267</v>
      </c>
      <c r="E192" s="222">
        <v>260000</v>
      </c>
      <c r="F192" s="227">
        <v>119531.1</v>
      </c>
      <c r="G192" s="224">
        <f t="shared" si="2"/>
        <v>45.973500000000001</v>
      </c>
    </row>
    <row r="193" spans="1:7">
      <c r="A193" s="773"/>
      <c r="B193" s="773"/>
      <c r="C193" s="195">
        <v>8110</v>
      </c>
      <c r="D193" s="221" t="s">
        <v>268</v>
      </c>
      <c r="E193" s="222">
        <v>83158</v>
      </c>
      <c r="F193" s="227">
        <v>83158.25</v>
      </c>
      <c r="G193" s="224">
        <f t="shared" si="2"/>
        <v>100.00030063253085</v>
      </c>
    </row>
    <row r="194" spans="1:7">
      <c r="A194" s="210">
        <v>801</v>
      </c>
      <c r="B194" s="210"/>
      <c r="C194" s="210"/>
      <c r="D194" s="211" t="s">
        <v>69</v>
      </c>
      <c r="E194" s="212">
        <f>E195+E219+E243+E331+E378+E464+E483+E449</f>
        <v>11215146</v>
      </c>
      <c r="F194" s="349">
        <f>F195+F219+F243+F331+F378+F464+F483+F449</f>
        <v>5931895.8799999999</v>
      </c>
      <c r="G194" s="214">
        <f t="shared" si="2"/>
        <v>52.891829317246518</v>
      </c>
    </row>
    <row r="195" spans="1:7">
      <c r="A195" s="857"/>
      <c r="B195" s="226">
        <v>80102</v>
      </c>
      <c r="C195" s="226"/>
      <c r="D195" s="225" t="s">
        <v>269</v>
      </c>
      <c r="E195" s="217">
        <f>E196+E215</f>
        <v>1064837</v>
      </c>
      <c r="F195" s="229">
        <f>F196+F215</f>
        <v>562764.46</v>
      </c>
      <c r="G195" s="219">
        <f t="shared" si="2"/>
        <v>52.849822085445943</v>
      </c>
    </row>
    <row r="196" spans="1:7">
      <c r="A196" s="858"/>
      <c r="B196" s="857"/>
      <c r="C196" s="319"/>
      <c r="D196" s="225" t="s">
        <v>271</v>
      </c>
      <c r="E196" s="217">
        <f>SUM(E197:E214)</f>
        <v>1019154</v>
      </c>
      <c r="F196" s="229">
        <f>SUM(F197:F214)</f>
        <v>562564.46</v>
      </c>
      <c r="G196" s="219">
        <f t="shared" si="2"/>
        <v>55.199161265127742</v>
      </c>
    </row>
    <row r="197" spans="1:7">
      <c r="A197" s="858"/>
      <c r="B197" s="858"/>
      <c r="C197" s="195">
        <v>3020</v>
      </c>
      <c r="D197" s="221" t="s">
        <v>221</v>
      </c>
      <c r="E197" s="222">
        <v>1384</v>
      </c>
      <c r="F197" s="227">
        <v>510</v>
      </c>
      <c r="G197" s="224">
        <f t="shared" si="2"/>
        <v>36.849710982658962</v>
      </c>
    </row>
    <row r="198" spans="1:7">
      <c r="A198" s="858"/>
      <c r="B198" s="858"/>
      <c r="C198" s="220">
        <v>4010</v>
      </c>
      <c r="D198" s="221" t="s">
        <v>222</v>
      </c>
      <c r="E198" s="222">
        <f>721459</f>
        <v>721459</v>
      </c>
      <c r="F198" s="227">
        <v>366559.84</v>
      </c>
      <c r="G198" s="224">
        <f t="shared" si="2"/>
        <v>50.808131855032649</v>
      </c>
    </row>
    <row r="199" spans="1:7">
      <c r="A199" s="858"/>
      <c r="B199" s="858"/>
      <c r="C199" s="220">
        <v>4040</v>
      </c>
      <c r="D199" s="221" t="s">
        <v>223</v>
      </c>
      <c r="E199" s="222">
        <v>49105</v>
      </c>
      <c r="F199" s="227">
        <v>49105.57</v>
      </c>
      <c r="G199" s="224">
        <f t="shared" si="2"/>
        <v>100.00116077792485</v>
      </c>
    </row>
    <row r="200" spans="1:7">
      <c r="A200" s="858"/>
      <c r="B200" s="858"/>
      <c r="C200" s="220">
        <v>4110</v>
      </c>
      <c r="D200" s="221" t="s">
        <v>224</v>
      </c>
      <c r="E200" s="222">
        <v>114615</v>
      </c>
      <c r="F200" s="227">
        <v>58262.06</v>
      </c>
      <c r="G200" s="224">
        <f t="shared" si="2"/>
        <v>50.832840378658986</v>
      </c>
    </row>
    <row r="201" spans="1:7">
      <c r="A201" s="858"/>
      <c r="B201" s="858"/>
      <c r="C201" s="220">
        <v>4120</v>
      </c>
      <c r="D201" s="221" t="s">
        <v>225</v>
      </c>
      <c r="E201" s="222">
        <v>18759</v>
      </c>
      <c r="F201" s="227">
        <v>9807.98</v>
      </c>
      <c r="G201" s="224">
        <f t="shared" si="2"/>
        <v>52.284130284130285</v>
      </c>
    </row>
    <row r="202" spans="1:7">
      <c r="A202" s="858"/>
      <c r="B202" s="858"/>
      <c r="C202" s="220">
        <v>4170</v>
      </c>
      <c r="D202" s="221" t="s">
        <v>226</v>
      </c>
      <c r="E202" s="222">
        <v>3000</v>
      </c>
      <c r="F202" s="227">
        <v>1026.8699999999999</v>
      </c>
      <c r="G202" s="224">
        <f t="shared" si="2"/>
        <v>34.228999999999992</v>
      </c>
    </row>
    <row r="203" spans="1:7">
      <c r="A203" s="858"/>
      <c r="B203" s="858"/>
      <c r="C203" s="220">
        <v>4210</v>
      </c>
      <c r="D203" s="221" t="s">
        <v>227</v>
      </c>
      <c r="E203" s="222">
        <v>14870</v>
      </c>
      <c r="F203" s="227">
        <v>12741.75</v>
      </c>
      <c r="G203" s="224">
        <f t="shared" si="2"/>
        <v>85.687626092804308</v>
      </c>
    </row>
    <row r="204" spans="1:7">
      <c r="A204" s="858"/>
      <c r="B204" s="858"/>
      <c r="C204" s="220">
        <v>4240</v>
      </c>
      <c r="D204" s="221" t="s">
        <v>270</v>
      </c>
      <c r="E204" s="222">
        <v>500</v>
      </c>
      <c r="F204" s="227">
        <v>396.72</v>
      </c>
      <c r="G204" s="224">
        <f t="shared" si="2"/>
        <v>79.343999999999994</v>
      </c>
    </row>
    <row r="205" spans="1:7">
      <c r="A205" s="858"/>
      <c r="B205" s="858"/>
      <c r="C205" s="220">
        <v>4260</v>
      </c>
      <c r="D205" s="221" t="s">
        <v>228</v>
      </c>
      <c r="E205" s="222">
        <v>36825</v>
      </c>
      <c r="F205" s="227">
        <v>26475.48</v>
      </c>
      <c r="G205" s="224">
        <f t="shared" si="2"/>
        <v>71.895397148676167</v>
      </c>
    </row>
    <row r="206" spans="1:7">
      <c r="A206" s="858"/>
      <c r="B206" s="858"/>
      <c r="C206" s="220">
        <v>4280</v>
      </c>
      <c r="D206" s="221" t="s">
        <v>230</v>
      </c>
      <c r="E206" s="222">
        <v>1300</v>
      </c>
      <c r="F206" s="227">
        <v>436</v>
      </c>
      <c r="G206" s="224">
        <f t="shared" si="2"/>
        <v>33.53846153846154</v>
      </c>
    </row>
    <row r="207" spans="1:7">
      <c r="A207" s="858"/>
      <c r="B207" s="858"/>
      <c r="C207" s="220">
        <v>4300</v>
      </c>
      <c r="D207" s="221" t="s">
        <v>216</v>
      </c>
      <c r="E207" s="222">
        <v>10633</v>
      </c>
      <c r="F207" s="227">
        <v>3491.58</v>
      </c>
      <c r="G207" s="224">
        <f t="shared" si="2"/>
        <v>32.83720492805417</v>
      </c>
    </row>
    <row r="208" spans="1:7">
      <c r="A208" s="858"/>
      <c r="B208" s="858"/>
      <c r="C208" s="220">
        <v>4350</v>
      </c>
      <c r="D208" s="221" t="s">
        <v>231</v>
      </c>
      <c r="E208" s="222">
        <v>708</v>
      </c>
      <c r="F208" s="227">
        <v>7.32</v>
      </c>
      <c r="G208" s="224">
        <f t="shared" si="2"/>
        <v>1.0338983050847457</v>
      </c>
    </row>
    <row r="209" spans="1:7">
      <c r="A209" s="858"/>
      <c r="B209" s="858"/>
      <c r="C209" s="220">
        <v>4370</v>
      </c>
      <c r="D209" s="221" t="s">
        <v>233</v>
      </c>
      <c r="E209" s="222">
        <v>4400</v>
      </c>
      <c r="F209" s="227">
        <v>2280.61</v>
      </c>
      <c r="G209" s="224">
        <f t="shared" si="2"/>
        <v>51.832045454545458</v>
      </c>
    </row>
    <row r="210" spans="1:7">
      <c r="A210" s="858"/>
      <c r="B210" s="858"/>
      <c r="C210" s="220">
        <v>4410</v>
      </c>
      <c r="D210" s="221" t="s">
        <v>234</v>
      </c>
      <c r="E210" s="222">
        <v>1000</v>
      </c>
      <c r="F210" s="227">
        <v>608.04999999999995</v>
      </c>
      <c r="G210" s="224">
        <f t="shared" si="2"/>
        <v>60.804999999999993</v>
      </c>
    </row>
    <row r="211" spans="1:7">
      <c r="A211" s="858"/>
      <c r="B211" s="858"/>
      <c r="C211" s="220">
        <v>4440</v>
      </c>
      <c r="D211" s="221" t="s">
        <v>236</v>
      </c>
      <c r="E211" s="222">
        <v>37537</v>
      </c>
      <c r="F211" s="227">
        <v>30200</v>
      </c>
      <c r="G211" s="224">
        <f t="shared" si="2"/>
        <v>80.45395210059408</v>
      </c>
    </row>
    <row r="212" spans="1:7">
      <c r="A212" s="858"/>
      <c r="B212" s="858"/>
      <c r="C212" s="220">
        <v>4700</v>
      </c>
      <c r="D212" s="221" t="s">
        <v>239</v>
      </c>
      <c r="E212" s="222">
        <v>1160</v>
      </c>
      <c r="F212" s="227">
        <v>0</v>
      </c>
      <c r="G212" s="224">
        <f t="shared" si="2"/>
        <v>0</v>
      </c>
    </row>
    <row r="213" spans="1:7">
      <c r="A213" s="858"/>
      <c r="B213" s="858"/>
      <c r="C213" s="220">
        <v>4740</v>
      </c>
      <c r="D213" s="221" t="s">
        <v>240</v>
      </c>
      <c r="E213" s="222">
        <v>800</v>
      </c>
      <c r="F213" s="227">
        <v>544.73</v>
      </c>
      <c r="G213" s="224">
        <f t="shared" si="2"/>
        <v>68.091250000000002</v>
      </c>
    </row>
    <row r="214" spans="1:7">
      <c r="A214" s="858"/>
      <c r="B214" s="858"/>
      <c r="C214" s="220">
        <v>4750</v>
      </c>
      <c r="D214" s="221" t="s">
        <v>241</v>
      </c>
      <c r="E214" s="222">
        <v>1099</v>
      </c>
      <c r="F214" s="227">
        <v>109.9</v>
      </c>
      <c r="G214" s="224">
        <f t="shared" si="2"/>
        <v>10</v>
      </c>
    </row>
    <row r="215" spans="1:7">
      <c r="A215" s="858"/>
      <c r="B215" s="858"/>
      <c r="C215" s="316"/>
      <c r="D215" s="225" t="s">
        <v>307</v>
      </c>
      <c r="E215" s="217">
        <f>E216+E217+E218</f>
        <v>45683</v>
      </c>
      <c r="F215" s="229">
        <f>F216+F217+F218</f>
        <v>200</v>
      </c>
      <c r="G215" s="219">
        <f t="shared" si="2"/>
        <v>0.43779961911433135</v>
      </c>
    </row>
    <row r="216" spans="1:7">
      <c r="A216" s="858"/>
      <c r="B216" s="858"/>
      <c r="C216" s="316">
        <v>3240</v>
      </c>
      <c r="D216" s="221" t="s">
        <v>277</v>
      </c>
      <c r="E216" s="222">
        <v>200</v>
      </c>
      <c r="F216" s="227">
        <v>200</v>
      </c>
      <c r="G216" s="224">
        <f t="shared" si="2"/>
        <v>100</v>
      </c>
    </row>
    <row r="217" spans="1:7">
      <c r="A217" s="858"/>
      <c r="B217" s="858"/>
      <c r="C217" s="316">
        <v>4010</v>
      </c>
      <c r="D217" s="221" t="s">
        <v>344</v>
      </c>
      <c r="E217" s="222">
        <v>6565</v>
      </c>
      <c r="F217" s="227">
        <v>0</v>
      </c>
      <c r="G217" s="224">
        <f t="shared" si="2"/>
        <v>0</v>
      </c>
    </row>
    <row r="218" spans="1:7">
      <c r="A218" s="858"/>
      <c r="B218" s="859"/>
      <c r="C218" s="316">
        <v>4300</v>
      </c>
      <c r="D218" s="221" t="s">
        <v>216</v>
      </c>
      <c r="E218" s="222">
        <v>38918</v>
      </c>
      <c r="F218" s="227">
        <v>0</v>
      </c>
      <c r="G218" s="224">
        <f t="shared" si="2"/>
        <v>0</v>
      </c>
    </row>
    <row r="219" spans="1:7">
      <c r="A219" s="858"/>
      <c r="B219" s="239">
        <v>80111</v>
      </c>
      <c r="C219" s="226"/>
      <c r="D219" s="225" t="s">
        <v>128</v>
      </c>
      <c r="E219" s="217">
        <f>E220+E227+E240</f>
        <v>745617</v>
      </c>
      <c r="F219" s="229">
        <f>F220+F227+F240</f>
        <v>420674.70999999996</v>
      </c>
      <c r="G219" s="219">
        <f t="shared" si="2"/>
        <v>56.419677931163051</v>
      </c>
    </row>
    <row r="220" spans="1:7">
      <c r="A220" s="858"/>
      <c r="B220" s="857"/>
      <c r="C220" s="240"/>
      <c r="D220" s="225" t="s">
        <v>271</v>
      </c>
      <c r="E220" s="217">
        <f>SUM(E221:E226)</f>
        <v>434650</v>
      </c>
      <c r="F220" s="229">
        <f>SUM(F221:F226)</f>
        <v>252253.34</v>
      </c>
      <c r="G220" s="219">
        <f t="shared" si="2"/>
        <v>58.035969170597035</v>
      </c>
    </row>
    <row r="221" spans="1:7">
      <c r="A221" s="858"/>
      <c r="B221" s="858"/>
      <c r="C221" s="241">
        <v>3020</v>
      </c>
      <c r="D221" s="221" t="s">
        <v>221</v>
      </c>
      <c r="E221" s="222">
        <v>1018</v>
      </c>
      <c r="F221" s="229">
        <v>0</v>
      </c>
      <c r="G221" s="224">
        <f t="shared" si="2"/>
        <v>0</v>
      </c>
    </row>
    <row r="222" spans="1:7">
      <c r="A222" s="858"/>
      <c r="B222" s="858"/>
      <c r="C222" s="233">
        <v>4010</v>
      </c>
      <c r="D222" s="221" t="s">
        <v>222</v>
      </c>
      <c r="E222" s="222">
        <v>323750</v>
      </c>
      <c r="F222" s="227">
        <v>174243.92</v>
      </c>
      <c r="G222" s="224">
        <f t="shared" si="2"/>
        <v>53.820515830115831</v>
      </c>
    </row>
    <row r="223" spans="1:7">
      <c r="A223" s="858"/>
      <c r="B223" s="858"/>
      <c r="C223" s="233">
        <v>4040</v>
      </c>
      <c r="D223" s="221" t="s">
        <v>223</v>
      </c>
      <c r="E223" s="222">
        <v>28022</v>
      </c>
      <c r="F223" s="227">
        <v>28022.03</v>
      </c>
      <c r="G223" s="224">
        <f t="shared" si="2"/>
        <v>100.00010705873956</v>
      </c>
    </row>
    <row r="224" spans="1:7">
      <c r="A224" s="858"/>
      <c r="B224" s="858"/>
      <c r="C224" s="233">
        <v>4110</v>
      </c>
      <c r="D224" s="221" t="s">
        <v>224</v>
      </c>
      <c r="E224" s="222">
        <v>52222</v>
      </c>
      <c r="F224" s="227">
        <v>27575.52</v>
      </c>
      <c r="G224" s="224">
        <f t="shared" si="2"/>
        <v>52.804411933667801</v>
      </c>
    </row>
    <row r="225" spans="1:7">
      <c r="A225" s="858"/>
      <c r="B225" s="858"/>
      <c r="C225" s="233">
        <v>4120</v>
      </c>
      <c r="D225" s="221" t="s">
        <v>225</v>
      </c>
      <c r="E225" s="222">
        <v>8524</v>
      </c>
      <c r="F225" s="227">
        <v>4271.87</v>
      </c>
      <c r="G225" s="224">
        <f t="shared" si="2"/>
        <v>50.115790708587518</v>
      </c>
    </row>
    <row r="226" spans="1:7">
      <c r="A226" s="858"/>
      <c r="B226" s="858"/>
      <c r="C226" s="233">
        <v>4440</v>
      </c>
      <c r="D226" s="221" t="s">
        <v>236</v>
      </c>
      <c r="E226" s="222">
        <v>21114</v>
      </c>
      <c r="F226" s="227">
        <v>18140</v>
      </c>
      <c r="G226" s="224">
        <f t="shared" si="2"/>
        <v>85.914559060339116</v>
      </c>
    </row>
    <row r="227" spans="1:7">
      <c r="A227" s="858"/>
      <c r="B227" s="858"/>
      <c r="C227" s="233"/>
      <c r="D227" s="225" t="s">
        <v>272</v>
      </c>
      <c r="E227" s="217">
        <f>SUM(E228:E239)</f>
        <v>306037</v>
      </c>
      <c r="F227" s="229">
        <f>SUM(F228:F239)</f>
        <v>168221.37</v>
      </c>
      <c r="G227" s="219">
        <f t="shared" ref="G227:G295" si="3">F227*100/E227</f>
        <v>54.967657505465027</v>
      </c>
    </row>
    <row r="228" spans="1:7">
      <c r="A228" s="858"/>
      <c r="B228" s="858"/>
      <c r="C228" s="241">
        <v>3020</v>
      </c>
      <c r="D228" s="221" t="s">
        <v>221</v>
      </c>
      <c r="E228" s="222">
        <v>18560</v>
      </c>
      <c r="F228" s="227">
        <v>6094.57</v>
      </c>
      <c r="G228" s="224">
        <f t="shared" si="3"/>
        <v>32.837122844827583</v>
      </c>
    </row>
    <row r="229" spans="1:7">
      <c r="A229" s="858"/>
      <c r="B229" s="858"/>
      <c r="C229" s="233">
        <v>4010</v>
      </c>
      <c r="D229" s="221" t="s">
        <v>222</v>
      </c>
      <c r="E229" s="222">
        <v>209084</v>
      </c>
      <c r="F229" s="227">
        <v>104712.4</v>
      </c>
      <c r="G229" s="224">
        <f t="shared" si="3"/>
        <v>50.081498345162707</v>
      </c>
    </row>
    <row r="230" spans="1:7">
      <c r="A230" s="858"/>
      <c r="B230" s="858"/>
      <c r="C230" s="233">
        <v>4040</v>
      </c>
      <c r="D230" s="221" t="s">
        <v>223</v>
      </c>
      <c r="E230" s="222">
        <v>10354</v>
      </c>
      <c r="F230" s="227">
        <v>10354.11</v>
      </c>
      <c r="G230" s="224">
        <f t="shared" si="3"/>
        <v>100.00106239134634</v>
      </c>
    </row>
    <row r="231" spans="1:7">
      <c r="A231" s="858"/>
      <c r="B231" s="858"/>
      <c r="C231" s="233">
        <v>4110</v>
      </c>
      <c r="D231" s="221" t="s">
        <v>224</v>
      </c>
      <c r="E231" s="222">
        <v>33183</v>
      </c>
      <c r="F231" s="227">
        <v>22591.96</v>
      </c>
      <c r="G231" s="224">
        <f t="shared" si="3"/>
        <v>68.08293403248652</v>
      </c>
    </row>
    <row r="232" spans="1:7">
      <c r="A232" s="858"/>
      <c r="B232" s="858"/>
      <c r="C232" s="233">
        <v>4120</v>
      </c>
      <c r="D232" s="221" t="s">
        <v>225</v>
      </c>
      <c r="E232" s="222">
        <v>5724</v>
      </c>
      <c r="F232" s="227">
        <v>2644.33</v>
      </c>
      <c r="G232" s="224">
        <f t="shared" si="3"/>
        <v>46.197239692522714</v>
      </c>
    </row>
    <row r="233" spans="1:7">
      <c r="A233" s="858"/>
      <c r="B233" s="858"/>
      <c r="C233" s="233">
        <v>4210</v>
      </c>
      <c r="D233" s="221" t="s">
        <v>227</v>
      </c>
      <c r="E233" s="222">
        <v>8800</v>
      </c>
      <c r="F233" s="227">
        <v>8800</v>
      </c>
      <c r="G233" s="224">
        <f t="shared" si="3"/>
        <v>100</v>
      </c>
    </row>
    <row r="234" spans="1:7">
      <c r="A234" s="858"/>
      <c r="B234" s="858"/>
      <c r="C234" s="233">
        <v>4240</v>
      </c>
      <c r="D234" s="221" t="s">
        <v>270</v>
      </c>
      <c r="E234" s="222">
        <v>2000</v>
      </c>
      <c r="F234" s="227">
        <v>1000</v>
      </c>
      <c r="G234" s="224">
        <f t="shared" si="3"/>
        <v>50</v>
      </c>
    </row>
    <row r="235" spans="1:7">
      <c r="A235" s="858"/>
      <c r="B235" s="858"/>
      <c r="C235" s="233">
        <v>4260</v>
      </c>
      <c r="D235" s="221" t="s">
        <v>228</v>
      </c>
      <c r="E235" s="222">
        <v>500</v>
      </c>
      <c r="F235" s="227">
        <v>0</v>
      </c>
      <c r="G235" s="224">
        <f t="shared" si="3"/>
        <v>0</v>
      </c>
    </row>
    <row r="236" spans="1:7">
      <c r="A236" s="858"/>
      <c r="B236" s="858"/>
      <c r="C236" s="233">
        <v>4280</v>
      </c>
      <c r="D236" s="221" t="s">
        <v>230</v>
      </c>
      <c r="E236" s="222">
        <v>500</v>
      </c>
      <c r="F236" s="227">
        <v>100</v>
      </c>
      <c r="G236" s="224">
        <f t="shared" si="3"/>
        <v>20</v>
      </c>
    </row>
    <row r="237" spans="1:7">
      <c r="A237" s="858"/>
      <c r="B237" s="858"/>
      <c r="C237" s="233">
        <v>4300</v>
      </c>
      <c r="D237" s="221" t="s">
        <v>216</v>
      </c>
      <c r="E237" s="222">
        <v>3800</v>
      </c>
      <c r="F237" s="227">
        <v>2000</v>
      </c>
      <c r="G237" s="224">
        <f t="shared" si="3"/>
        <v>52.631578947368418</v>
      </c>
    </row>
    <row r="238" spans="1:7">
      <c r="A238" s="858"/>
      <c r="B238" s="858"/>
      <c r="C238" s="233">
        <v>4350</v>
      </c>
      <c r="D238" s="221" t="s">
        <v>231</v>
      </c>
      <c r="E238" s="222">
        <v>300</v>
      </c>
      <c r="F238" s="227">
        <v>0</v>
      </c>
      <c r="G238" s="224">
        <f t="shared" si="3"/>
        <v>0</v>
      </c>
    </row>
    <row r="239" spans="1:7">
      <c r="A239" s="858"/>
      <c r="B239" s="858"/>
      <c r="C239" s="233">
        <v>4440</v>
      </c>
      <c r="D239" s="221" t="s">
        <v>236</v>
      </c>
      <c r="E239" s="222">
        <v>13232</v>
      </c>
      <c r="F239" s="227">
        <v>9924</v>
      </c>
      <c r="G239" s="224">
        <f t="shared" si="3"/>
        <v>75</v>
      </c>
    </row>
    <row r="240" spans="1:7">
      <c r="A240" s="858"/>
      <c r="B240" s="858"/>
      <c r="C240" s="316"/>
      <c r="D240" s="225" t="s">
        <v>307</v>
      </c>
      <c r="E240" s="217">
        <f>E241+E242</f>
        <v>4930</v>
      </c>
      <c r="F240" s="227">
        <f>F241</f>
        <v>200</v>
      </c>
      <c r="G240" s="224">
        <f t="shared" si="3"/>
        <v>4.056795131845842</v>
      </c>
    </row>
    <row r="241" spans="1:7">
      <c r="A241" s="858"/>
      <c r="B241" s="858"/>
      <c r="C241" s="316">
        <v>3240</v>
      </c>
      <c r="D241" s="221" t="s">
        <v>277</v>
      </c>
      <c r="E241" s="222">
        <v>200</v>
      </c>
      <c r="F241" s="227">
        <v>200</v>
      </c>
      <c r="G241" s="224">
        <f t="shared" si="3"/>
        <v>100</v>
      </c>
    </row>
    <row r="242" spans="1:7">
      <c r="A242" s="858"/>
      <c r="B242" s="859"/>
      <c r="C242" s="316">
        <v>4010</v>
      </c>
      <c r="D242" s="221" t="s">
        <v>222</v>
      </c>
      <c r="E242" s="222">
        <v>4730</v>
      </c>
      <c r="F242" s="227">
        <v>0</v>
      </c>
      <c r="G242" s="224">
        <f t="shared" si="3"/>
        <v>0</v>
      </c>
    </row>
    <row r="243" spans="1:7">
      <c r="A243" s="858"/>
      <c r="B243" s="234">
        <v>80120</v>
      </c>
      <c r="C243" s="226"/>
      <c r="D243" s="225" t="s">
        <v>62</v>
      </c>
      <c r="E243" s="217">
        <f>E244+E265+E283+E304+E322</f>
        <v>3886288</v>
      </c>
      <c r="F243" s="229">
        <f>F244+F265+F322+F283+F304</f>
        <v>2006073.4799999997</v>
      </c>
      <c r="G243" s="219">
        <f t="shared" si="3"/>
        <v>51.619269596077281</v>
      </c>
    </row>
    <row r="244" spans="1:7">
      <c r="A244" s="858"/>
      <c r="B244" s="875"/>
      <c r="C244" s="242"/>
      <c r="D244" s="243" t="s">
        <v>351</v>
      </c>
      <c r="E244" s="244">
        <f>SUM(E245:E264)</f>
        <v>2079709</v>
      </c>
      <c r="F244" s="245">
        <f>SUM(F245:F263)</f>
        <v>1125404.1299999999</v>
      </c>
      <c r="G244" s="219">
        <f t="shared" si="3"/>
        <v>54.113538480623966</v>
      </c>
    </row>
    <row r="245" spans="1:7">
      <c r="A245" s="858"/>
      <c r="B245" s="876"/>
      <c r="C245" s="195">
        <v>3020</v>
      </c>
      <c r="D245" s="221" t="s">
        <v>221</v>
      </c>
      <c r="E245" s="222">
        <v>10292</v>
      </c>
      <c r="F245" s="227">
        <v>4608</v>
      </c>
      <c r="G245" s="224">
        <f t="shared" si="3"/>
        <v>44.772638942868248</v>
      </c>
    </row>
    <row r="246" spans="1:7">
      <c r="A246" s="858"/>
      <c r="B246" s="876"/>
      <c r="C246" s="220">
        <v>4010</v>
      </c>
      <c r="D246" s="221" t="s">
        <v>222</v>
      </c>
      <c r="E246" s="222">
        <v>1364844</v>
      </c>
      <c r="F246" s="227">
        <v>652780.85</v>
      </c>
      <c r="G246" s="224">
        <f t="shared" si="3"/>
        <v>47.828238978227546</v>
      </c>
    </row>
    <row r="247" spans="1:7">
      <c r="A247" s="858"/>
      <c r="B247" s="876"/>
      <c r="C247" s="220">
        <v>4040</v>
      </c>
      <c r="D247" s="221" t="s">
        <v>223</v>
      </c>
      <c r="E247" s="222">
        <v>101491</v>
      </c>
      <c r="F247" s="227">
        <v>101490.54</v>
      </c>
      <c r="G247" s="224">
        <f t="shared" si="3"/>
        <v>99.999546757840591</v>
      </c>
    </row>
    <row r="248" spans="1:7">
      <c r="A248" s="858"/>
      <c r="B248" s="876"/>
      <c r="C248" s="220">
        <v>4110</v>
      </c>
      <c r="D248" s="221" t="s">
        <v>224</v>
      </c>
      <c r="E248" s="222">
        <v>219776</v>
      </c>
      <c r="F248" s="227">
        <v>113707.27</v>
      </c>
      <c r="G248" s="224">
        <f t="shared" si="3"/>
        <v>51.737801215783342</v>
      </c>
    </row>
    <row r="249" spans="1:7">
      <c r="A249" s="858"/>
      <c r="B249" s="876"/>
      <c r="C249" s="220">
        <v>4120</v>
      </c>
      <c r="D249" s="221" t="s">
        <v>225</v>
      </c>
      <c r="E249" s="222">
        <v>35937</v>
      </c>
      <c r="F249" s="227">
        <v>17852.34</v>
      </c>
      <c r="G249" s="224">
        <f t="shared" si="3"/>
        <v>49.676767676767675</v>
      </c>
    </row>
    <row r="250" spans="1:7">
      <c r="A250" s="858"/>
      <c r="B250" s="876"/>
      <c r="C250" s="220">
        <v>4170</v>
      </c>
      <c r="D250" s="221" t="s">
        <v>226</v>
      </c>
      <c r="E250" s="222">
        <v>4782</v>
      </c>
      <c r="F250" s="227">
        <v>2437.4</v>
      </c>
      <c r="G250" s="224">
        <f t="shared" si="3"/>
        <v>50.970305311585108</v>
      </c>
    </row>
    <row r="251" spans="1:7">
      <c r="A251" s="858"/>
      <c r="B251" s="876"/>
      <c r="C251" s="220">
        <v>4210</v>
      </c>
      <c r="D251" s="221" t="s">
        <v>227</v>
      </c>
      <c r="E251" s="222">
        <v>34612</v>
      </c>
      <c r="F251" s="227">
        <v>14121.26</v>
      </c>
      <c r="G251" s="224">
        <f t="shared" si="3"/>
        <v>40.798740321275858</v>
      </c>
    </row>
    <row r="252" spans="1:7">
      <c r="A252" s="858"/>
      <c r="B252" s="876"/>
      <c r="C252" s="220">
        <v>4240</v>
      </c>
      <c r="D252" s="221" t="s">
        <v>270</v>
      </c>
      <c r="E252" s="222">
        <v>2400</v>
      </c>
      <c r="F252" s="227">
        <v>2388.92</v>
      </c>
      <c r="G252" s="224">
        <f t="shared" si="3"/>
        <v>99.538333333333327</v>
      </c>
    </row>
    <row r="253" spans="1:7">
      <c r="A253" s="858"/>
      <c r="B253" s="876"/>
      <c r="C253" s="220">
        <v>4260</v>
      </c>
      <c r="D253" s="221" t="s">
        <v>228</v>
      </c>
      <c r="E253" s="222">
        <v>142823</v>
      </c>
      <c r="F253" s="227">
        <v>106254.21</v>
      </c>
      <c r="G253" s="224">
        <f t="shared" si="3"/>
        <v>74.395727578891353</v>
      </c>
    </row>
    <row r="254" spans="1:7">
      <c r="A254" s="858"/>
      <c r="B254" s="876"/>
      <c r="C254" s="220">
        <v>4270</v>
      </c>
      <c r="D254" s="221" t="s">
        <v>229</v>
      </c>
      <c r="E254" s="222">
        <v>7600</v>
      </c>
      <c r="F254" s="227">
        <v>4117.38</v>
      </c>
      <c r="G254" s="224">
        <f t="shared" si="3"/>
        <v>54.176052631578948</v>
      </c>
    </row>
    <row r="255" spans="1:7">
      <c r="A255" s="858"/>
      <c r="B255" s="876"/>
      <c r="C255" s="220">
        <v>4280</v>
      </c>
      <c r="D255" s="221" t="s">
        <v>230</v>
      </c>
      <c r="E255" s="222">
        <v>709</v>
      </c>
      <c r="F255" s="227">
        <v>265</v>
      </c>
      <c r="G255" s="224">
        <f t="shared" si="3"/>
        <v>37.376586741889987</v>
      </c>
    </row>
    <row r="256" spans="1:7">
      <c r="A256" s="858"/>
      <c r="B256" s="876"/>
      <c r="C256" s="220">
        <v>4300</v>
      </c>
      <c r="D256" s="221" t="s">
        <v>216</v>
      </c>
      <c r="E256" s="222">
        <v>14000</v>
      </c>
      <c r="F256" s="227">
        <v>10710.24</v>
      </c>
      <c r="G256" s="224">
        <f t="shared" si="3"/>
        <v>76.501714285714286</v>
      </c>
    </row>
    <row r="257" spans="1:7">
      <c r="A257" s="858"/>
      <c r="B257" s="876"/>
      <c r="C257" s="220">
        <v>4350</v>
      </c>
      <c r="D257" s="221" t="s">
        <v>231</v>
      </c>
      <c r="E257" s="222">
        <v>1456</v>
      </c>
      <c r="F257" s="227">
        <v>578.04999999999995</v>
      </c>
      <c r="G257" s="224">
        <f t="shared" si="3"/>
        <v>39.701236263736256</v>
      </c>
    </row>
    <row r="258" spans="1:7">
      <c r="A258" s="858"/>
      <c r="B258" s="876"/>
      <c r="C258" s="220">
        <v>4370</v>
      </c>
      <c r="D258" s="221" t="s">
        <v>233</v>
      </c>
      <c r="E258" s="222">
        <v>5973</v>
      </c>
      <c r="F258" s="227">
        <v>2303.86</v>
      </c>
      <c r="G258" s="224">
        <f t="shared" si="3"/>
        <v>38.571237234220661</v>
      </c>
    </row>
    <row r="259" spans="1:7">
      <c r="A259" s="858"/>
      <c r="B259" s="876"/>
      <c r="C259" s="220">
        <v>4410</v>
      </c>
      <c r="D259" s="221" t="s">
        <v>234</v>
      </c>
      <c r="E259" s="222">
        <v>1500</v>
      </c>
      <c r="F259" s="227">
        <v>977.93</v>
      </c>
      <c r="G259" s="224">
        <f t="shared" si="3"/>
        <v>65.195333333333338</v>
      </c>
    </row>
    <row r="260" spans="1:7">
      <c r="A260" s="858"/>
      <c r="B260" s="876"/>
      <c r="C260" s="220">
        <v>4440</v>
      </c>
      <c r="D260" s="221" t="s">
        <v>236</v>
      </c>
      <c r="E260" s="222">
        <v>109326</v>
      </c>
      <c r="F260" s="227">
        <v>88500</v>
      </c>
      <c r="G260" s="224">
        <f t="shared" si="3"/>
        <v>80.950551561385211</v>
      </c>
    </row>
    <row r="261" spans="1:7">
      <c r="A261" s="858"/>
      <c r="B261" s="876"/>
      <c r="C261" s="220">
        <v>4700</v>
      </c>
      <c r="D261" s="221" t="s">
        <v>239</v>
      </c>
      <c r="E261" s="222">
        <v>500</v>
      </c>
      <c r="F261" s="227">
        <v>462.6</v>
      </c>
      <c r="G261" s="224">
        <f t="shared" si="3"/>
        <v>92.52</v>
      </c>
    </row>
    <row r="262" spans="1:7">
      <c r="A262" s="858"/>
      <c r="B262" s="876"/>
      <c r="C262" s="220">
        <v>4740</v>
      </c>
      <c r="D262" s="221" t="s">
        <v>240</v>
      </c>
      <c r="E262" s="222">
        <v>500</v>
      </c>
      <c r="F262" s="227">
        <v>106.9</v>
      </c>
      <c r="G262" s="224">
        <f t="shared" si="3"/>
        <v>21.38</v>
      </c>
    </row>
    <row r="263" spans="1:7">
      <c r="A263" s="858"/>
      <c r="B263" s="876"/>
      <c r="C263" s="220">
        <v>4750</v>
      </c>
      <c r="D263" s="221" t="s">
        <v>241</v>
      </c>
      <c r="E263" s="222">
        <v>2888</v>
      </c>
      <c r="F263" s="227">
        <v>1741.38</v>
      </c>
      <c r="G263" s="224">
        <f t="shared" si="3"/>
        <v>60.297091412742382</v>
      </c>
    </row>
    <row r="264" spans="1:7">
      <c r="A264" s="858"/>
      <c r="B264" s="876"/>
      <c r="C264" s="316">
        <v>6060</v>
      </c>
      <c r="D264" s="221" t="s">
        <v>243</v>
      </c>
      <c r="E264" s="222">
        <v>18300</v>
      </c>
      <c r="F264" s="227">
        <v>0</v>
      </c>
      <c r="G264" s="224">
        <f t="shared" si="3"/>
        <v>0</v>
      </c>
    </row>
    <row r="265" spans="1:7">
      <c r="A265" s="858"/>
      <c r="B265" s="876"/>
      <c r="C265" s="246"/>
      <c r="D265" s="243" t="s">
        <v>305</v>
      </c>
      <c r="E265" s="244">
        <f>SUM(E266:E282)</f>
        <v>718004</v>
      </c>
      <c r="F265" s="245">
        <f>SUM(F266:F282)</f>
        <v>404461.52999999997</v>
      </c>
      <c r="G265" s="219">
        <f t="shared" si="3"/>
        <v>56.331375591222333</v>
      </c>
    </row>
    <row r="266" spans="1:7">
      <c r="A266" s="858"/>
      <c r="B266" s="876"/>
      <c r="C266" s="220">
        <v>3020</v>
      </c>
      <c r="D266" s="221" t="s">
        <v>221</v>
      </c>
      <c r="E266" s="222">
        <v>7417</v>
      </c>
      <c r="F266" s="227">
        <v>5237.32</v>
      </c>
      <c r="G266" s="224">
        <f t="shared" si="3"/>
        <v>70.61237697182149</v>
      </c>
    </row>
    <row r="267" spans="1:7">
      <c r="A267" s="858"/>
      <c r="B267" s="876"/>
      <c r="C267" s="220">
        <v>4010</v>
      </c>
      <c r="D267" s="221" t="s">
        <v>222</v>
      </c>
      <c r="E267" s="222">
        <v>477100</v>
      </c>
      <c r="F267" s="227">
        <v>249545.45</v>
      </c>
      <c r="G267" s="224">
        <f t="shared" si="3"/>
        <v>52.304642632571785</v>
      </c>
    </row>
    <row r="268" spans="1:7">
      <c r="A268" s="858"/>
      <c r="B268" s="876"/>
      <c r="C268" s="220">
        <v>4040</v>
      </c>
      <c r="D268" s="221" t="s">
        <v>223</v>
      </c>
      <c r="E268" s="222">
        <v>28470</v>
      </c>
      <c r="F268" s="227">
        <v>25499</v>
      </c>
      <c r="G268" s="224">
        <f t="shared" si="3"/>
        <v>89.564453811029153</v>
      </c>
    </row>
    <row r="269" spans="1:7">
      <c r="A269" s="858"/>
      <c r="B269" s="876"/>
      <c r="C269" s="220">
        <v>4110</v>
      </c>
      <c r="D269" s="221" t="s">
        <v>224</v>
      </c>
      <c r="E269" s="222">
        <v>75540</v>
      </c>
      <c r="F269" s="227">
        <v>39930.43</v>
      </c>
      <c r="G269" s="224">
        <f t="shared" si="3"/>
        <v>52.859981466772574</v>
      </c>
    </row>
    <row r="270" spans="1:7">
      <c r="A270" s="858"/>
      <c r="B270" s="876"/>
      <c r="C270" s="220">
        <v>4120</v>
      </c>
      <c r="D270" s="221" t="s">
        <v>225</v>
      </c>
      <c r="E270" s="222">
        <v>12355</v>
      </c>
      <c r="F270" s="227">
        <v>6314.23</v>
      </c>
      <c r="G270" s="224">
        <f t="shared" si="3"/>
        <v>51.106677458518817</v>
      </c>
    </row>
    <row r="271" spans="1:7">
      <c r="A271" s="858"/>
      <c r="B271" s="876"/>
      <c r="C271" s="316">
        <v>4170</v>
      </c>
      <c r="D271" s="221" t="s">
        <v>226</v>
      </c>
      <c r="E271" s="222">
        <v>5520</v>
      </c>
      <c r="F271" s="227">
        <v>5520</v>
      </c>
      <c r="G271" s="224">
        <f t="shared" si="3"/>
        <v>100</v>
      </c>
    </row>
    <row r="272" spans="1:7">
      <c r="A272" s="858"/>
      <c r="B272" s="876"/>
      <c r="C272" s="220">
        <v>4210</v>
      </c>
      <c r="D272" s="221" t="s">
        <v>227</v>
      </c>
      <c r="E272" s="222">
        <v>31300</v>
      </c>
      <c r="F272" s="227">
        <v>13280.49</v>
      </c>
      <c r="G272" s="224">
        <f t="shared" si="3"/>
        <v>42.429680511182106</v>
      </c>
    </row>
    <row r="273" spans="1:7">
      <c r="A273" s="858"/>
      <c r="B273" s="876"/>
      <c r="C273" s="220">
        <v>4240</v>
      </c>
      <c r="D273" s="221" t="s">
        <v>270</v>
      </c>
      <c r="E273" s="222">
        <v>1432</v>
      </c>
      <c r="F273" s="227">
        <v>505.59</v>
      </c>
      <c r="G273" s="224">
        <f t="shared" si="3"/>
        <v>35.306564245810058</v>
      </c>
    </row>
    <row r="274" spans="1:7">
      <c r="A274" s="858"/>
      <c r="B274" s="876"/>
      <c r="C274" s="220">
        <v>4260</v>
      </c>
      <c r="D274" s="221" t="s">
        <v>228</v>
      </c>
      <c r="E274" s="222">
        <v>10230</v>
      </c>
      <c r="F274" s="227">
        <v>8189.73</v>
      </c>
      <c r="G274" s="224">
        <f t="shared" si="3"/>
        <v>80.056011730205284</v>
      </c>
    </row>
    <row r="275" spans="1:7">
      <c r="A275" s="858"/>
      <c r="B275" s="876"/>
      <c r="C275" s="220">
        <v>4300</v>
      </c>
      <c r="D275" s="221" t="s">
        <v>216</v>
      </c>
      <c r="E275" s="222">
        <v>26744</v>
      </c>
      <c r="F275" s="227">
        <v>12744.44</v>
      </c>
      <c r="G275" s="224">
        <f t="shared" si="3"/>
        <v>47.65345498055639</v>
      </c>
    </row>
    <row r="276" spans="1:7">
      <c r="A276" s="858"/>
      <c r="B276" s="876"/>
      <c r="C276" s="220">
        <v>4360</v>
      </c>
      <c r="D276" s="221" t="s">
        <v>232</v>
      </c>
      <c r="E276" s="222">
        <v>798</v>
      </c>
      <c r="F276" s="227">
        <v>220.25</v>
      </c>
      <c r="G276" s="224">
        <f t="shared" si="3"/>
        <v>27.600250626566417</v>
      </c>
    </row>
    <row r="277" spans="1:7">
      <c r="A277" s="858"/>
      <c r="B277" s="876"/>
      <c r="C277" s="220">
        <v>4370</v>
      </c>
      <c r="D277" s="221" t="s">
        <v>233</v>
      </c>
      <c r="E277" s="222">
        <v>2210</v>
      </c>
      <c r="F277" s="227">
        <v>534</v>
      </c>
      <c r="G277" s="224">
        <f t="shared" si="3"/>
        <v>24.162895927601809</v>
      </c>
    </row>
    <row r="278" spans="1:7">
      <c r="A278" s="858"/>
      <c r="B278" s="876"/>
      <c r="C278" s="220">
        <v>4410</v>
      </c>
      <c r="D278" s="221" t="s">
        <v>234</v>
      </c>
      <c r="E278" s="222">
        <v>1023</v>
      </c>
      <c r="F278" s="227">
        <v>785.94</v>
      </c>
      <c r="G278" s="224">
        <f t="shared" si="3"/>
        <v>76.826979472140764</v>
      </c>
    </row>
    <row r="279" spans="1:7">
      <c r="A279" s="858"/>
      <c r="B279" s="876"/>
      <c r="C279" s="220">
        <v>4440</v>
      </c>
      <c r="D279" s="221" t="s">
        <v>236</v>
      </c>
      <c r="E279" s="222">
        <v>35024</v>
      </c>
      <c r="F279" s="227">
        <v>34345</v>
      </c>
      <c r="G279" s="224">
        <f t="shared" si="3"/>
        <v>98.06132937414344</v>
      </c>
    </row>
    <row r="280" spans="1:7">
      <c r="A280" s="858"/>
      <c r="B280" s="876"/>
      <c r="C280" s="220">
        <v>4580</v>
      </c>
      <c r="D280" s="221" t="s">
        <v>74</v>
      </c>
      <c r="E280" s="222">
        <v>176</v>
      </c>
      <c r="F280" s="227">
        <v>176</v>
      </c>
      <c r="G280" s="224">
        <f t="shared" si="3"/>
        <v>100</v>
      </c>
    </row>
    <row r="281" spans="1:7">
      <c r="A281" s="858"/>
      <c r="B281" s="876"/>
      <c r="C281" s="316">
        <v>4610</v>
      </c>
      <c r="D281" s="221" t="s">
        <v>217</v>
      </c>
      <c r="E281" s="222">
        <v>619</v>
      </c>
      <c r="F281" s="227">
        <v>619</v>
      </c>
      <c r="G281" s="224">
        <f t="shared" si="3"/>
        <v>100</v>
      </c>
    </row>
    <row r="282" spans="1:7">
      <c r="A282" s="858"/>
      <c r="B282" s="876"/>
      <c r="C282" s="316">
        <v>4740</v>
      </c>
      <c r="D282" s="221" t="s">
        <v>240</v>
      </c>
      <c r="E282" s="222">
        <v>2046</v>
      </c>
      <c r="F282" s="227">
        <v>1014.66</v>
      </c>
      <c r="G282" s="224">
        <f t="shared" si="3"/>
        <v>49.592375366568916</v>
      </c>
    </row>
    <row r="283" spans="1:7">
      <c r="A283" s="858"/>
      <c r="B283" s="876"/>
      <c r="C283" s="242"/>
      <c r="D283" s="243" t="s">
        <v>352</v>
      </c>
      <c r="E283" s="217">
        <f>SUM(E284:E303)</f>
        <v>317703</v>
      </c>
      <c r="F283" s="229">
        <f>SUM(F284:F303)</f>
        <v>183054.38</v>
      </c>
      <c r="G283" s="219">
        <f t="shared" si="3"/>
        <v>57.618083556025596</v>
      </c>
    </row>
    <row r="284" spans="1:7">
      <c r="A284" s="858"/>
      <c r="B284" s="876"/>
      <c r="C284" s="195">
        <v>3020</v>
      </c>
      <c r="D284" s="221" t="s">
        <v>221</v>
      </c>
      <c r="E284" s="222">
        <v>900</v>
      </c>
      <c r="F284" s="227">
        <v>426</v>
      </c>
      <c r="G284" s="224">
        <f t="shared" si="3"/>
        <v>47.333333333333336</v>
      </c>
    </row>
    <row r="285" spans="1:7">
      <c r="A285" s="858"/>
      <c r="B285" s="876"/>
      <c r="C285" s="220">
        <v>4010</v>
      </c>
      <c r="D285" s="221" t="s">
        <v>222</v>
      </c>
      <c r="E285" s="222">
        <v>193540</v>
      </c>
      <c r="F285" s="227">
        <v>99298.559999999998</v>
      </c>
      <c r="G285" s="224">
        <f t="shared" si="3"/>
        <v>51.306479280768833</v>
      </c>
    </row>
    <row r="286" spans="1:7">
      <c r="A286" s="858"/>
      <c r="B286" s="876"/>
      <c r="C286" s="220">
        <v>4040</v>
      </c>
      <c r="D286" s="221" t="s">
        <v>223</v>
      </c>
      <c r="E286" s="222">
        <v>17727</v>
      </c>
      <c r="F286" s="227">
        <v>17726.53</v>
      </c>
      <c r="G286" s="224">
        <f t="shared" si="3"/>
        <v>99.997348677159138</v>
      </c>
    </row>
    <row r="287" spans="1:7">
      <c r="A287" s="858"/>
      <c r="B287" s="876"/>
      <c r="C287" s="220">
        <v>4110</v>
      </c>
      <c r="D287" s="221" t="s">
        <v>224</v>
      </c>
      <c r="E287" s="222">
        <v>31635</v>
      </c>
      <c r="F287" s="227">
        <v>16067.35</v>
      </c>
      <c r="G287" s="224">
        <f t="shared" si="3"/>
        <v>50.789789789789786</v>
      </c>
    </row>
    <row r="288" spans="1:7">
      <c r="A288" s="858"/>
      <c r="B288" s="876"/>
      <c r="C288" s="220">
        <v>4120</v>
      </c>
      <c r="D288" s="221" t="s">
        <v>225</v>
      </c>
      <c r="E288" s="222">
        <v>5151</v>
      </c>
      <c r="F288" s="227">
        <v>2727.34</v>
      </c>
      <c r="G288" s="224">
        <f t="shared" si="3"/>
        <v>52.947777130654245</v>
      </c>
    </row>
    <row r="289" spans="1:7">
      <c r="A289" s="858"/>
      <c r="B289" s="876"/>
      <c r="C289" s="220">
        <v>4170</v>
      </c>
      <c r="D289" s="221" t="s">
        <v>226</v>
      </c>
      <c r="E289" s="222">
        <v>2606</v>
      </c>
      <c r="F289" s="227">
        <v>707.4</v>
      </c>
      <c r="G289" s="224">
        <f t="shared" si="3"/>
        <v>27.145049884881043</v>
      </c>
    </row>
    <row r="290" spans="1:7">
      <c r="A290" s="858"/>
      <c r="B290" s="876"/>
      <c r="C290" s="220">
        <v>4210</v>
      </c>
      <c r="D290" s="221" t="s">
        <v>227</v>
      </c>
      <c r="E290" s="222">
        <v>2400</v>
      </c>
      <c r="F290" s="227">
        <v>1038.8499999999999</v>
      </c>
      <c r="G290" s="224">
        <f t="shared" si="3"/>
        <v>43.285416666666663</v>
      </c>
    </row>
    <row r="291" spans="1:7">
      <c r="A291" s="858"/>
      <c r="B291" s="876"/>
      <c r="C291" s="220">
        <v>4240</v>
      </c>
      <c r="D291" s="221" t="s">
        <v>270</v>
      </c>
      <c r="E291" s="222">
        <v>720</v>
      </c>
      <c r="F291" s="227">
        <v>180.3</v>
      </c>
      <c r="G291" s="224">
        <f t="shared" si="3"/>
        <v>25.041666666666668</v>
      </c>
    </row>
    <row r="292" spans="1:7">
      <c r="A292" s="858"/>
      <c r="B292" s="876"/>
      <c r="C292" s="220">
        <v>4260</v>
      </c>
      <c r="D292" s="221" t="s">
        <v>228</v>
      </c>
      <c r="E292" s="222">
        <v>28883</v>
      </c>
      <c r="F292" s="227">
        <v>21398.65</v>
      </c>
      <c r="G292" s="224">
        <f t="shared" si="3"/>
        <v>74.087352421839839</v>
      </c>
    </row>
    <row r="293" spans="1:7">
      <c r="A293" s="858"/>
      <c r="B293" s="876"/>
      <c r="C293" s="220">
        <v>4270</v>
      </c>
      <c r="D293" s="221" t="s">
        <v>229</v>
      </c>
      <c r="E293" s="222">
        <v>1500</v>
      </c>
      <c r="F293" s="227">
        <v>575.79</v>
      </c>
      <c r="G293" s="224">
        <f t="shared" si="3"/>
        <v>38.386000000000003</v>
      </c>
    </row>
    <row r="294" spans="1:7">
      <c r="A294" s="858"/>
      <c r="B294" s="876"/>
      <c r="C294" s="220">
        <v>4280</v>
      </c>
      <c r="D294" s="221" t="s">
        <v>230</v>
      </c>
      <c r="E294" s="222">
        <v>300</v>
      </c>
      <c r="F294" s="227">
        <v>18</v>
      </c>
      <c r="G294" s="224">
        <f t="shared" si="3"/>
        <v>6</v>
      </c>
    </row>
    <row r="295" spans="1:7">
      <c r="A295" s="858"/>
      <c r="B295" s="876"/>
      <c r="C295" s="220">
        <v>4300</v>
      </c>
      <c r="D295" s="221" t="s">
        <v>216</v>
      </c>
      <c r="E295" s="222">
        <v>14130</v>
      </c>
      <c r="F295" s="227">
        <v>9264</v>
      </c>
      <c r="G295" s="224">
        <f t="shared" si="3"/>
        <v>65.562632696390665</v>
      </c>
    </row>
    <row r="296" spans="1:7">
      <c r="A296" s="858"/>
      <c r="B296" s="876"/>
      <c r="C296" s="220">
        <v>4350</v>
      </c>
      <c r="D296" s="221" t="s">
        <v>231</v>
      </c>
      <c r="E296" s="222">
        <v>720</v>
      </c>
      <c r="F296" s="227">
        <v>360</v>
      </c>
      <c r="G296" s="224">
        <f t="shared" ref="G296:G368" si="4">F296*100/E296</f>
        <v>50</v>
      </c>
    </row>
    <row r="297" spans="1:7">
      <c r="A297" s="858"/>
      <c r="B297" s="876"/>
      <c r="C297" s="220">
        <v>4370</v>
      </c>
      <c r="D297" s="221" t="s">
        <v>233</v>
      </c>
      <c r="E297" s="222">
        <v>1080</v>
      </c>
      <c r="F297" s="227">
        <v>410.19</v>
      </c>
      <c r="G297" s="224">
        <f t="shared" si="4"/>
        <v>37.980555555555554</v>
      </c>
    </row>
    <row r="298" spans="1:7">
      <c r="A298" s="858"/>
      <c r="B298" s="876"/>
      <c r="C298" s="220">
        <v>4410</v>
      </c>
      <c r="D298" s="221" t="s">
        <v>234</v>
      </c>
      <c r="E298" s="222">
        <v>525</v>
      </c>
      <c r="F298" s="227">
        <v>424.76</v>
      </c>
      <c r="G298" s="224">
        <f t="shared" si="4"/>
        <v>80.906666666666666</v>
      </c>
    </row>
    <row r="299" spans="1:7">
      <c r="A299" s="858"/>
      <c r="B299" s="876"/>
      <c r="C299" s="316">
        <v>4420</v>
      </c>
      <c r="D299" s="221" t="s">
        <v>345</v>
      </c>
      <c r="E299" s="222">
        <v>408</v>
      </c>
      <c r="F299" s="227">
        <v>407.96</v>
      </c>
      <c r="G299" s="224">
        <f t="shared" si="4"/>
        <v>99.990196078431367</v>
      </c>
    </row>
    <row r="300" spans="1:7">
      <c r="A300" s="858"/>
      <c r="B300" s="876"/>
      <c r="C300" s="220">
        <v>4440</v>
      </c>
      <c r="D300" s="221" t="s">
        <v>236</v>
      </c>
      <c r="E300" s="222">
        <v>14016</v>
      </c>
      <c r="F300" s="227">
        <v>11129</v>
      </c>
      <c r="G300" s="224">
        <f t="shared" si="4"/>
        <v>79.402111872146122</v>
      </c>
    </row>
    <row r="301" spans="1:7">
      <c r="A301" s="858"/>
      <c r="B301" s="876"/>
      <c r="C301" s="316">
        <v>4700</v>
      </c>
      <c r="D301" s="221" t="s">
        <v>239</v>
      </c>
      <c r="E301" s="222">
        <v>360</v>
      </c>
      <c r="F301" s="227">
        <v>0</v>
      </c>
      <c r="G301" s="224">
        <f t="shared" si="4"/>
        <v>0</v>
      </c>
    </row>
    <row r="302" spans="1:7">
      <c r="A302" s="858"/>
      <c r="B302" s="876"/>
      <c r="C302" s="220">
        <v>4740</v>
      </c>
      <c r="D302" s="221" t="s">
        <v>240</v>
      </c>
      <c r="E302" s="222">
        <v>240</v>
      </c>
      <c r="F302" s="227">
        <v>30.7</v>
      </c>
      <c r="G302" s="224">
        <f t="shared" si="4"/>
        <v>12.791666666666666</v>
      </c>
    </row>
    <row r="303" spans="1:7">
      <c r="A303" s="858"/>
      <c r="B303" s="876"/>
      <c r="C303" s="220">
        <v>4750</v>
      </c>
      <c r="D303" s="221" t="s">
        <v>241</v>
      </c>
      <c r="E303" s="222">
        <v>862</v>
      </c>
      <c r="F303" s="227">
        <v>863</v>
      </c>
      <c r="G303" s="224">
        <f t="shared" si="4"/>
        <v>100.11600928074246</v>
      </c>
    </row>
    <row r="304" spans="1:7">
      <c r="A304" s="858"/>
      <c r="B304" s="876"/>
      <c r="C304" s="242"/>
      <c r="D304" s="243" t="s">
        <v>281</v>
      </c>
      <c r="E304" s="217">
        <f>SUM(E305:E321)</f>
        <v>169719</v>
      </c>
      <c r="F304" s="229">
        <f>SUM(F305:F321)</f>
        <v>88339.43</v>
      </c>
      <c r="G304" s="219">
        <f t="shared" si="4"/>
        <v>52.050406848968002</v>
      </c>
    </row>
    <row r="305" spans="1:7">
      <c r="A305" s="858"/>
      <c r="B305" s="876"/>
      <c r="C305" s="195">
        <v>3020</v>
      </c>
      <c r="D305" s="221" t="s">
        <v>221</v>
      </c>
      <c r="E305" s="222">
        <v>818</v>
      </c>
      <c r="F305" s="227">
        <v>285.02</v>
      </c>
      <c r="G305" s="224">
        <f t="shared" si="4"/>
        <v>34.843520782396091</v>
      </c>
    </row>
    <row r="306" spans="1:7">
      <c r="A306" s="858"/>
      <c r="B306" s="876"/>
      <c r="C306" s="220">
        <v>4010</v>
      </c>
      <c r="D306" s="221" t="s">
        <v>222</v>
      </c>
      <c r="E306" s="222">
        <v>111093</v>
      </c>
      <c r="F306" s="227">
        <v>54435.519999999997</v>
      </c>
      <c r="G306" s="224">
        <f t="shared" si="4"/>
        <v>48.999954992663802</v>
      </c>
    </row>
    <row r="307" spans="1:7">
      <c r="A307" s="858"/>
      <c r="B307" s="876"/>
      <c r="C307" s="220">
        <v>4040</v>
      </c>
      <c r="D307" s="221" t="s">
        <v>223</v>
      </c>
      <c r="E307" s="222">
        <v>7809</v>
      </c>
      <c r="F307" s="227">
        <v>7808.83</v>
      </c>
      <c r="G307" s="224">
        <f t="shared" si="4"/>
        <v>99.997823024715075</v>
      </c>
    </row>
    <row r="308" spans="1:7">
      <c r="A308" s="858"/>
      <c r="B308" s="876"/>
      <c r="C308" s="220">
        <v>4110</v>
      </c>
      <c r="D308" s="221" t="s">
        <v>224</v>
      </c>
      <c r="E308" s="222">
        <v>18382</v>
      </c>
      <c r="F308" s="227">
        <v>9179.09</v>
      </c>
      <c r="G308" s="224">
        <f t="shared" si="4"/>
        <v>49.935208356000437</v>
      </c>
    </row>
    <row r="309" spans="1:7">
      <c r="A309" s="858"/>
      <c r="B309" s="876"/>
      <c r="C309" s="220">
        <v>4120</v>
      </c>
      <c r="D309" s="221" t="s">
        <v>225</v>
      </c>
      <c r="E309" s="222">
        <v>2913</v>
      </c>
      <c r="F309" s="227">
        <v>1436.95</v>
      </c>
      <c r="G309" s="224">
        <f t="shared" si="4"/>
        <v>49.328870580157911</v>
      </c>
    </row>
    <row r="310" spans="1:7">
      <c r="A310" s="858"/>
      <c r="B310" s="876"/>
      <c r="C310" s="220">
        <v>4210</v>
      </c>
      <c r="D310" s="221" t="s">
        <v>227</v>
      </c>
      <c r="E310" s="222">
        <v>5261</v>
      </c>
      <c r="F310" s="227">
        <v>2685.16</v>
      </c>
      <c r="G310" s="224">
        <f t="shared" si="4"/>
        <v>51.038965976050179</v>
      </c>
    </row>
    <row r="311" spans="1:7">
      <c r="A311" s="858"/>
      <c r="B311" s="876"/>
      <c r="C311" s="220">
        <v>4260</v>
      </c>
      <c r="D311" s="221" t="s">
        <v>228</v>
      </c>
      <c r="E311" s="222">
        <v>7542</v>
      </c>
      <c r="F311" s="227">
        <v>4105.43</v>
      </c>
      <c r="G311" s="224">
        <f t="shared" si="4"/>
        <v>54.434234950941395</v>
      </c>
    </row>
    <row r="312" spans="1:7">
      <c r="A312" s="858"/>
      <c r="B312" s="876"/>
      <c r="C312" s="220">
        <v>4280</v>
      </c>
      <c r="D312" s="221" t="s">
        <v>230</v>
      </c>
      <c r="E312" s="222">
        <v>61</v>
      </c>
      <c r="F312" s="227">
        <v>39.97</v>
      </c>
      <c r="G312" s="224">
        <f t="shared" si="4"/>
        <v>65.52459016393442</v>
      </c>
    </row>
    <row r="313" spans="1:7">
      <c r="A313" s="858"/>
      <c r="B313" s="876"/>
      <c r="C313" s="220">
        <v>4300</v>
      </c>
      <c r="D313" s="221" t="s">
        <v>216</v>
      </c>
      <c r="E313" s="222">
        <v>5952</v>
      </c>
      <c r="F313" s="227">
        <v>1441.5</v>
      </c>
      <c r="G313" s="224">
        <f t="shared" si="4"/>
        <v>24.21875</v>
      </c>
    </row>
    <row r="314" spans="1:7">
      <c r="A314" s="858"/>
      <c r="B314" s="876"/>
      <c r="C314" s="220">
        <v>4350</v>
      </c>
      <c r="D314" s="221" t="s">
        <v>231</v>
      </c>
      <c r="E314" s="222">
        <v>65</v>
      </c>
      <c r="F314" s="227">
        <v>15.66</v>
      </c>
      <c r="G314" s="224">
        <f t="shared" si="4"/>
        <v>24.092307692307692</v>
      </c>
    </row>
    <row r="315" spans="1:7">
      <c r="A315" s="858"/>
      <c r="B315" s="876"/>
      <c r="C315" s="220">
        <v>4360</v>
      </c>
      <c r="D315" s="221" t="s">
        <v>232</v>
      </c>
      <c r="E315" s="222">
        <v>430</v>
      </c>
      <c r="F315" s="227">
        <v>217.09</v>
      </c>
      <c r="G315" s="224">
        <f t="shared" si="4"/>
        <v>50.486046511627904</v>
      </c>
    </row>
    <row r="316" spans="1:7">
      <c r="A316" s="858"/>
      <c r="B316" s="876"/>
      <c r="C316" s="220">
        <v>4370</v>
      </c>
      <c r="D316" s="221" t="s">
        <v>233</v>
      </c>
      <c r="E316" s="222">
        <v>561</v>
      </c>
      <c r="F316" s="227">
        <v>194.46</v>
      </c>
      <c r="G316" s="224">
        <f t="shared" si="4"/>
        <v>34.663101604278076</v>
      </c>
    </row>
    <row r="317" spans="1:7">
      <c r="A317" s="858"/>
      <c r="B317" s="876"/>
      <c r="C317" s="220">
        <v>4410</v>
      </c>
      <c r="D317" s="221" t="s">
        <v>234</v>
      </c>
      <c r="E317" s="222">
        <v>492</v>
      </c>
      <c r="F317" s="227">
        <v>399.81</v>
      </c>
      <c r="G317" s="224">
        <f t="shared" si="4"/>
        <v>81.262195121951223</v>
      </c>
    </row>
    <row r="318" spans="1:7">
      <c r="A318" s="858"/>
      <c r="B318" s="876"/>
      <c r="C318" s="220">
        <v>4440</v>
      </c>
      <c r="D318" s="221" t="s">
        <v>236</v>
      </c>
      <c r="E318" s="222">
        <v>7575</v>
      </c>
      <c r="F318" s="227">
        <v>5681</v>
      </c>
      <c r="G318" s="224">
        <f t="shared" si="4"/>
        <v>74.996699669967001</v>
      </c>
    </row>
    <row r="319" spans="1:7">
      <c r="A319" s="858"/>
      <c r="B319" s="876"/>
      <c r="C319" s="220">
        <v>4700</v>
      </c>
      <c r="D319" s="221" t="s">
        <v>239</v>
      </c>
      <c r="E319" s="222">
        <v>117</v>
      </c>
      <c r="F319" s="227">
        <v>47.39</v>
      </c>
      <c r="G319" s="224">
        <f t="shared" si="4"/>
        <v>40.504273504273506</v>
      </c>
    </row>
    <row r="320" spans="1:7">
      <c r="A320" s="858"/>
      <c r="B320" s="876"/>
      <c r="C320" s="220">
        <v>4740</v>
      </c>
      <c r="D320" s="221" t="s">
        <v>240</v>
      </c>
      <c r="E320" s="222">
        <v>175</v>
      </c>
      <c r="F320" s="227">
        <v>100.62</v>
      </c>
      <c r="G320" s="224">
        <f t="shared" si="4"/>
        <v>57.497142857142855</v>
      </c>
    </row>
    <row r="321" spans="1:7">
      <c r="A321" s="858"/>
      <c r="B321" s="876"/>
      <c r="C321" s="220">
        <v>4750</v>
      </c>
      <c r="D321" s="221" t="s">
        <v>241</v>
      </c>
      <c r="E321" s="222">
        <v>473</v>
      </c>
      <c r="F321" s="227">
        <v>265.93</v>
      </c>
      <c r="G321" s="224">
        <f t="shared" si="4"/>
        <v>56.221987315010573</v>
      </c>
    </row>
    <row r="322" spans="1:7">
      <c r="A322" s="858"/>
      <c r="B322" s="876"/>
      <c r="C322" s="215"/>
      <c r="D322" s="356" t="s">
        <v>307</v>
      </c>
      <c r="E322" s="244">
        <f>SUM(E323:E330)</f>
        <v>601153</v>
      </c>
      <c r="F322" s="336">
        <f>SUM(F323:F330)</f>
        <v>204814.01</v>
      </c>
      <c r="G322" s="219">
        <f t="shared" si="4"/>
        <v>34.070196771870059</v>
      </c>
    </row>
    <row r="323" spans="1:7" ht="22.5">
      <c r="A323" s="858"/>
      <c r="B323" s="876"/>
      <c r="C323" s="220">
        <v>2540</v>
      </c>
      <c r="D323" s="230" t="s">
        <v>273</v>
      </c>
      <c r="E323" s="222">
        <v>544291</v>
      </c>
      <c r="F323" s="227">
        <v>179034.7</v>
      </c>
      <c r="G323" s="224">
        <f t="shared" si="4"/>
        <v>32.893195000468502</v>
      </c>
    </row>
    <row r="324" spans="1:7">
      <c r="A324" s="858"/>
      <c r="B324" s="876"/>
      <c r="C324" s="316">
        <v>3240</v>
      </c>
      <c r="D324" s="221" t="s">
        <v>277</v>
      </c>
      <c r="E324" s="222">
        <v>17300</v>
      </c>
      <c r="F324" s="227">
        <v>5900</v>
      </c>
      <c r="G324" s="224">
        <f t="shared" si="4"/>
        <v>34.104046242774565</v>
      </c>
    </row>
    <row r="325" spans="1:7">
      <c r="A325" s="858"/>
      <c r="B325" s="876"/>
      <c r="C325" s="316">
        <v>4010</v>
      </c>
      <c r="D325" s="221" t="s">
        <v>222</v>
      </c>
      <c r="E325" s="222">
        <v>19682</v>
      </c>
      <c r="F325" s="227">
        <v>0</v>
      </c>
      <c r="G325" s="224">
        <f t="shared" si="4"/>
        <v>0</v>
      </c>
    </row>
    <row r="326" spans="1:7">
      <c r="A326" s="858"/>
      <c r="B326" s="876"/>
      <c r="C326" s="316">
        <v>4218</v>
      </c>
      <c r="D326" s="221" t="s">
        <v>227</v>
      </c>
      <c r="E326" s="222">
        <v>5370</v>
      </c>
      <c r="F326" s="227">
        <v>5369.97</v>
      </c>
      <c r="G326" s="224">
        <f t="shared" si="4"/>
        <v>99.999441340782127</v>
      </c>
    </row>
    <row r="327" spans="1:7">
      <c r="A327" s="858"/>
      <c r="B327" s="876"/>
      <c r="C327" s="316">
        <v>4219</v>
      </c>
      <c r="D327" s="221" t="s">
        <v>227</v>
      </c>
      <c r="E327" s="222">
        <v>1790</v>
      </c>
      <c r="F327" s="227">
        <v>1790</v>
      </c>
      <c r="G327" s="224">
        <f t="shared" si="4"/>
        <v>100</v>
      </c>
    </row>
    <row r="328" spans="1:7">
      <c r="A328" s="858"/>
      <c r="B328" s="876"/>
      <c r="C328" s="316">
        <v>4300</v>
      </c>
      <c r="D328" s="221" t="s">
        <v>216</v>
      </c>
      <c r="E328" s="222">
        <v>88</v>
      </c>
      <c r="F328" s="227">
        <v>88</v>
      </c>
      <c r="G328" s="224">
        <f t="shared" si="4"/>
        <v>100</v>
      </c>
    </row>
    <row r="329" spans="1:7">
      <c r="A329" s="858"/>
      <c r="B329" s="876"/>
      <c r="C329" s="316">
        <v>4308</v>
      </c>
      <c r="D329" s="221" t="s">
        <v>216</v>
      </c>
      <c r="E329" s="222">
        <v>9474</v>
      </c>
      <c r="F329" s="227">
        <v>9473.51</v>
      </c>
      <c r="G329" s="224">
        <f t="shared" si="4"/>
        <v>99.994827950179442</v>
      </c>
    </row>
    <row r="330" spans="1:7">
      <c r="A330" s="858"/>
      <c r="B330" s="877"/>
      <c r="C330" s="316">
        <v>4309</v>
      </c>
      <c r="D330" s="221" t="s">
        <v>216</v>
      </c>
      <c r="E330" s="222">
        <v>3158</v>
      </c>
      <c r="F330" s="227">
        <v>3157.83</v>
      </c>
      <c r="G330" s="224">
        <f t="shared" si="4"/>
        <v>99.994616846105131</v>
      </c>
    </row>
    <row r="331" spans="1:7">
      <c r="A331" s="858"/>
      <c r="B331" s="242">
        <v>80123</v>
      </c>
      <c r="C331" s="246"/>
      <c r="D331" s="243" t="s">
        <v>274</v>
      </c>
      <c r="E331" s="244">
        <f>E332+E350+E371+E375</f>
        <v>821694</v>
      </c>
      <c r="F331" s="245">
        <f>F332+F350+F371+F375</f>
        <v>440162.08</v>
      </c>
      <c r="G331" s="219">
        <f t="shared" si="4"/>
        <v>53.567639534912026</v>
      </c>
    </row>
    <row r="332" spans="1:7">
      <c r="A332" s="858"/>
      <c r="B332" s="875"/>
      <c r="C332" s="246"/>
      <c r="D332" s="243" t="s">
        <v>281</v>
      </c>
      <c r="E332" s="244">
        <f>SUM(E333:E349)</f>
        <v>244206</v>
      </c>
      <c r="F332" s="245">
        <f>SUM(F333:F349)</f>
        <v>129543.31000000001</v>
      </c>
      <c r="G332" s="219">
        <f t="shared" si="4"/>
        <v>53.046735133452913</v>
      </c>
    </row>
    <row r="333" spans="1:7">
      <c r="A333" s="858"/>
      <c r="B333" s="876"/>
      <c r="C333" s="220">
        <v>3020</v>
      </c>
      <c r="D333" s="221" t="s">
        <v>221</v>
      </c>
      <c r="E333" s="222">
        <v>2864</v>
      </c>
      <c r="F333" s="227">
        <v>387.32</v>
      </c>
      <c r="G333" s="224">
        <f t="shared" si="4"/>
        <v>13.523743016759777</v>
      </c>
    </row>
    <row r="334" spans="1:7">
      <c r="A334" s="858"/>
      <c r="B334" s="876"/>
      <c r="C334" s="220">
        <v>4010</v>
      </c>
      <c r="D334" s="221" t="s">
        <v>222</v>
      </c>
      <c r="E334" s="222">
        <v>158580</v>
      </c>
      <c r="F334" s="227">
        <v>82149.64</v>
      </c>
      <c r="G334" s="224">
        <f t="shared" si="4"/>
        <v>51.803279102030523</v>
      </c>
    </row>
    <row r="335" spans="1:7">
      <c r="A335" s="858"/>
      <c r="B335" s="876"/>
      <c r="C335" s="220">
        <v>4040</v>
      </c>
      <c r="D335" s="221" t="s">
        <v>223</v>
      </c>
      <c r="E335" s="222">
        <v>11748</v>
      </c>
      <c r="F335" s="227">
        <v>11747.55</v>
      </c>
      <c r="G335" s="224">
        <f t="shared" si="4"/>
        <v>99.996169560776309</v>
      </c>
    </row>
    <row r="336" spans="1:7">
      <c r="A336" s="858"/>
      <c r="B336" s="876"/>
      <c r="C336" s="220">
        <v>4110</v>
      </c>
      <c r="D336" s="221" t="s">
        <v>224</v>
      </c>
      <c r="E336" s="222">
        <v>26838</v>
      </c>
      <c r="F336" s="227">
        <v>13396.9</v>
      </c>
      <c r="G336" s="224">
        <f t="shared" si="4"/>
        <v>49.917654072583652</v>
      </c>
    </row>
    <row r="337" spans="1:7">
      <c r="A337" s="858"/>
      <c r="B337" s="876"/>
      <c r="C337" s="220">
        <v>4120</v>
      </c>
      <c r="D337" s="221" t="s">
        <v>225</v>
      </c>
      <c r="E337" s="222">
        <v>4173</v>
      </c>
      <c r="F337" s="227">
        <v>2104.6</v>
      </c>
      <c r="G337" s="224">
        <f t="shared" si="4"/>
        <v>50.433740714114549</v>
      </c>
    </row>
    <row r="338" spans="1:7">
      <c r="A338" s="858"/>
      <c r="B338" s="876"/>
      <c r="C338" s="220">
        <v>4210</v>
      </c>
      <c r="D338" s="221" t="s">
        <v>227</v>
      </c>
      <c r="E338" s="222">
        <v>7149</v>
      </c>
      <c r="F338" s="227">
        <v>3649.89</v>
      </c>
      <c r="G338" s="224">
        <f t="shared" si="4"/>
        <v>51.054553084347461</v>
      </c>
    </row>
    <row r="339" spans="1:7">
      <c r="A339" s="858"/>
      <c r="B339" s="876"/>
      <c r="C339" s="220">
        <v>4260</v>
      </c>
      <c r="D339" s="221" t="s">
        <v>228</v>
      </c>
      <c r="E339" s="222">
        <v>10250</v>
      </c>
      <c r="F339" s="227">
        <v>5404.25</v>
      </c>
      <c r="G339" s="224">
        <f t="shared" si="4"/>
        <v>52.724390243902441</v>
      </c>
    </row>
    <row r="340" spans="1:7">
      <c r="A340" s="858"/>
      <c r="B340" s="876"/>
      <c r="C340" s="220">
        <v>4280</v>
      </c>
      <c r="D340" s="221" t="s">
        <v>230</v>
      </c>
      <c r="E340" s="222">
        <v>83</v>
      </c>
      <c r="F340" s="227">
        <v>54.33</v>
      </c>
      <c r="G340" s="224">
        <f t="shared" si="4"/>
        <v>65.4578313253012</v>
      </c>
    </row>
    <row r="341" spans="1:7">
      <c r="A341" s="858"/>
      <c r="B341" s="876"/>
      <c r="C341" s="220">
        <v>4300</v>
      </c>
      <c r="D341" s="221" t="s">
        <v>216</v>
      </c>
      <c r="E341" s="222">
        <v>10003</v>
      </c>
      <c r="F341" s="227">
        <v>1958.43</v>
      </c>
      <c r="G341" s="224">
        <f t="shared" si="4"/>
        <v>19.578426472058382</v>
      </c>
    </row>
    <row r="342" spans="1:7">
      <c r="A342" s="858"/>
      <c r="B342" s="876"/>
      <c r="C342" s="220">
        <v>4350</v>
      </c>
      <c r="D342" s="221" t="s">
        <v>231</v>
      </c>
      <c r="E342" s="222">
        <v>88</v>
      </c>
      <c r="F342" s="227">
        <v>21.3</v>
      </c>
      <c r="G342" s="224">
        <f t="shared" si="4"/>
        <v>24.204545454545453</v>
      </c>
    </row>
    <row r="343" spans="1:7">
      <c r="A343" s="858"/>
      <c r="B343" s="876"/>
      <c r="C343" s="220">
        <v>4360</v>
      </c>
      <c r="D343" s="221" t="s">
        <v>232</v>
      </c>
      <c r="E343" s="222">
        <v>585</v>
      </c>
      <c r="F343" s="227">
        <v>267.91000000000003</v>
      </c>
      <c r="G343" s="224">
        <f t="shared" si="4"/>
        <v>45.796581196581201</v>
      </c>
    </row>
    <row r="344" spans="1:7">
      <c r="A344" s="858"/>
      <c r="B344" s="876"/>
      <c r="C344" s="220">
        <v>4370</v>
      </c>
      <c r="D344" s="221" t="s">
        <v>233</v>
      </c>
      <c r="E344" s="222">
        <v>762</v>
      </c>
      <c r="F344" s="227">
        <v>264.3</v>
      </c>
      <c r="G344" s="224">
        <f t="shared" si="4"/>
        <v>34.685039370078741</v>
      </c>
    </row>
    <row r="345" spans="1:7">
      <c r="A345" s="858"/>
      <c r="B345" s="876"/>
      <c r="C345" s="220">
        <v>4410</v>
      </c>
      <c r="D345" s="221" t="s">
        <v>234</v>
      </c>
      <c r="E345" s="222">
        <v>668</v>
      </c>
      <c r="F345" s="227">
        <v>543.35</v>
      </c>
      <c r="G345" s="224">
        <f t="shared" si="4"/>
        <v>81.339820359281433</v>
      </c>
    </row>
    <row r="346" spans="1:7">
      <c r="A346" s="858"/>
      <c r="B346" s="876"/>
      <c r="C346" s="220">
        <v>4440</v>
      </c>
      <c r="D346" s="221" t="s">
        <v>236</v>
      </c>
      <c r="E346" s="222">
        <v>9375</v>
      </c>
      <c r="F346" s="227">
        <v>7031</v>
      </c>
      <c r="G346" s="224">
        <f t="shared" si="4"/>
        <v>74.99733333333333</v>
      </c>
    </row>
    <row r="347" spans="1:7">
      <c r="A347" s="858"/>
      <c r="B347" s="876"/>
      <c r="C347" s="220">
        <v>4700</v>
      </c>
      <c r="D347" s="221" t="s">
        <v>239</v>
      </c>
      <c r="E347" s="222">
        <v>159</v>
      </c>
      <c r="F347" s="227">
        <v>64.400000000000006</v>
      </c>
      <c r="G347" s="224">
        <f t="shared" si="4"/>
        <v>40.503144654088054</v>
      </c>
    </row>
    <row r="348" spans="1:7">
      <c r="A348" s="858"/>
      <c r="B348" s="876"/>
      <c r="C348" s="220">
        <v>4740</v>
      </c>
      <c r="D348" s="221" t="s">
        <v>240</v>
      </c>
      <c r="E348" s="222">
        <v>238</v>
      </c>
      <c r="F348" s="227">
        <v>136.74</v>
      </c>
      <c r="G348" s="224">
        <f t="shared" si="4"/>
        <v>57.45378151260504</v>
      </c>
    </row>
    <row r="349" spans="1:7">
      <c r="A349" s="858"/>
      <c r="B349" s="876"/>
      <c r="C349" s="220">
        <v>4750</v>
      </c>
      <c r="D349" s="221" t="s">
        <v>241</v>
      </c>
      <c r="E349" s="222">
        <v>643</v>
      </c>
      <c r="F349" s="227">
        <v>361.4</v>
      </c>
      <c r="G349" s="224">
        <f t="shared" si="4"/>
        <v>56.205287713841372</v>
      </c>
    </row>
    <row r="350" spans="1:7">
      <c r="A350" s="858"/>
      <c r="B350" s="876"/>
      <c r="C350" s="246"/>
      <c r="D350" s="243" t="s">
        <v>284</v>
      </c>
      <c r="E350" s="244">
        <f>SUM(E351:E370)</f>
        <v>106558</v>
      </c>
      <c r="F350" s="245">
        <f>SUM(F351:F370)</f>
        <v>61017.47</v>
      </c>
      <c r="G350" s="219">
        <f t="shared" si="4"/>
        <v>57.262214005518125</v>
      </c>
    </row>
    <row r="351" spans="1:7">
      <c r="A351" s="858"/>
      <c r="B351" s="876"/>
      <c r="C351" s="220">
        <v>3020</v>
      </c>
      <c r="D351" s="221" t="s">
        <v>221</v>
      </c>
      <c r="E351" s="222">
        <v>300</v>
      </c>
      <c r="F351" s="227">
        <v>142</v>
      </c>
      <c r="G351" s="224">
        <f t="shared" si="4"/>
        <v>47.333333333333336</v>
      </c>
    </row>
    <row r="352" spans="1:7">
      <c r="A352" s="858"/>
      <c r="B352" s="876"/>
      <c r="C352" s="220">
        <v>4010</v>
      </c>
      <c r="D352" s="221" t="s">
        <v>222</v>
      </c>
      <c r="E352" s="222">
        <v>64505</v>
      </c>
      <c r="F352" s="227">
        <v>33100.050000000003</v>
      </c>
      <c r="G352" s="224">
        <f t="shared" si="4"/>
        <v>51.313929152778861</v>
      </c>
    </row>
    <row r="353" spans="1:7">
      <c r="A353" s="858"/>
      <c r="B353" s="876"/>
      <c r="C353" s="220">
        <v>4040</v>
      </c>
      <c r="D353" s="221" t="s">
        <v>223</v>
      </c>
      <c r="E353" s="222">
        <v>5909</v>
      </c>
      <c r="F353" s="227">
        <v>5908.84</v>
      </c>
      <c r="G353" s="224">
        <f t="shared" si="4"/>
        <v>99.997292266034862</v>
      </c>
    </row>
    <row r="354" spans="1:7">
      <c r="A354" s="858"/>
      <c r="B354" s="876"/>
      <c r="C354" s="220">
        <v>4110</v>
      </c>
      <c r="D354" s="221" t="s">
        <v>224</v>
      </c>
      <c r="E354" s="222">
        <v>10545</v>
      </c>
      <c r="F354" s="227">
        <v>5355.34</v>
      </c>
      <c r="G354" s="224">
        <f t="shared" si="4"/>
        <v>50.785585585585586</v>
      </c>
    </row>
    <row r="355" spans="1:7">
      <c r="A355" s="858"/>
      <c r="B355" s="876"/>
      <c r="C355" s="220">
        <v>4120</v>
      </c>
      <c r="D355" s="221" t="s">
        <v>225</v>
      </c>
      <c r="E355" s="222">
        <v>1717</v>
      </c>
      <c r="F355" s="227">
        <v>908.86</v>
      </c>
      <c r="G355" s="224">
        <f t="shared" si="4"/>
        <v>52.933022714036106</v>
      </c>
    </row>
    <row r="356" spans="1:7">
      <c r="A356" s="858"/>
      <c r="B356" s="876"/>
      <c r="C356" s="220">
        <v>4170</v>
      </c>
      <c r="D356" s="221" t="s">
        <v>226</v>
      </c>
      <c r="E356" s="222">
        <v>869</v>
      </c>
      <c r="F356" s="227">
        <v>235.8</v>
      </c>
      <c r="G356" s="224">
        <f t="shared" si="4"/>
        <v>27.134637514384348</v>
      </c>
    </row>
    <row r="357" spans="1:7">
      <c r="A357" s="858"/>
      <c r="B357" s="876"/>
      <c r="C357" s="220">
        <v>4210</v>
      </c>
      <c r="D357" s="221" t="s">
        <v>227</v>
      </c>
      <c r="E357" s="222">
        <v>800</v>
      </c>
      <c r="F357" s="227">
        <v>346.29</v>
      </c>
      <c r="G357" s="224">
        <f t="shared" si="4"/>
        <v>43.286250000000003</v>
      </c>
    </row>
    <row r="358" spans="1:7">
      <c r="A358" s="858"/>
      <c r="B358" s="876"/>
      <c r="C358" s="220">
        <v>4240</v>
      </c>
      <c r="D358" s="221" t="s">
        <v>270</v>
      </c>
      <c r="E358" s="222">
        <v>240</v>
      </c>
      <c r="F358" s="227">
        <v>60.1</v>
      </c>
      <c r="G358" s="224">
        <f t="shared" si="4"/>
        <v>25.041666666666668</v>
      </c>
    </row>
    <row r="359" spans="1:7">
      <c r="A359" s="858"/>
      <c r="B359" s="876"/>
      <c r="C359" s="220">
        <v>4260</v>
      </c>
      <c r="D359" s="221" t="s">
        <v>228</v>
      </c>
      <c r="E359" s="222">
        <v>10292</v>
      </c>
      <c r="F359" s="227">
        <v>7132.8</v>
      </c>
      <c r="G359" s="224">
        <f t="shared" si="4"/>
        <v>69.304314030314814</v>
      </c>
    </row>
    <row r="360" spans="1:7">
      <c r="A360" s="858"/>
      <c r="B360" s="876"/>
      <c r="C360" s="220">
        <v>4270</v>
      </c>
      <c r="D360" s="221" t="s">
        <v>229</v>
      </c>
      <c r="E360" s="222">
        <v>500</v>
      </c>
      <c r="F360" s="227">
        <v>191.93</v>
      </c>
      <c r="G360" s="224">
        <f t="shared" si="4"/>
        <v>38.386000000000003</v>
      </c>
    </row>
    <row r="361" spans="1:7">
      <c r="A361" s="858"/>
      <c r="B361" s="876"/>
      <c r="C361" s="220">
        <v>4280</v>
      </c>
      <c r="D361" s="221" t="s">
        <v>230</v>
      </c>
      <c r="E361" s="222">
        <v>100</v>
      </c>
      <c r="F361" s="227">
        <v>6</v>
      </c>
      <c r="G361" s="224">
        <f t="shared" si="4"/>
        <v>6</v>
      </c>
    </row>
    <row r="362" spans="1:7">
      <c r="A362" s="858"/>
      <c r="B362" s="876"/>
      <c r="C362" s="220">
        <v>4300</v>
      </c>
      <c r="D362" s="221" t="s">
        <v>216</v>
      </c>
      <c r="E362" s="222">
        <v>4710</v>
      </c>
      <c r="F362" s="227">
        <v>3088.62</v>
      </c>
      <c r="G362" s="224">
        <f t="shared" si="4"/>
        <v>65.57579617834395</v>
      </c>
    </row>
    <row r="363" spans="1:7">
      <c r="A363" s="858"/>
      <c r="B363" s="876"/>
      <c r="C363" s="220">
        <v>4350</v>
      </c>
      <c r="D363" s="221" t="s">
        <v>231</v>
      </c>
      <c r="E363" s="222">
        <v>240</v>
      </c>
      <c r="F363" s="227">
        <v>120</v>
      </c>
      <c r="G363" s="224">
        <f t="shared" si="4"/>
        <v>50</v>
      </c>
    </row>
    <row r="364" spans="1:7">
      <c r="A364" s="858"/>
      <c r="B364" s="876"/>
      <c r="C364" s="220">
        <v>4370</v>
      </c>
      <c r="D364" s="221" t="s">
        <v>233</v>
      </c>
      <c r="E364" s="222">
        <v>360</v>
      </c>
      <c r="F364" s="227">
        <v>136.38</v>
      </c>
      <c r="G364" s="224">
        <f t="shared" si="4"/>
        <v>37.883333333333333</v>
      </c>
    </row>
    <row r="365" spans="1:7">
      <c r="A365" s="858"/>
      <c r="B365" s="876"/>
      <c r="C365" s="220">
        <v>4410</v>
      </c>
      <c r="D365" s="221" t="s">
        <v>234</v>
      </c>
      <c r="E365" s="222">
        <v>175</v>
      </c>
      <c r="F365" s="227">
        <v>141.55000000000001</v>
      </c>
      <c r="G365" s="224">
        <f t="shared" si="4"/>
        <v>80.8857142857143</v>
      </c>
    </row>
    <row r="366" spans="1:7">
      <c r="A366" s="858"/>
      <c r="B366" s="876"/>
      <c r="C366" s="316">
        <v>4420</v>
      </c>
      <c r="D366" s="221" t="s">
        <v>345</v>
      </c>
      <c r="E366" s="222">
        <v>136</v>
      </c>
      <c r="F366" s="227">
        <v>135.99</v>
      </c>
      <c r="G366" s="224">
        <f t="shared" si="4"/>
        <v>99.992647058823536</v>
      </c>
    </row>
    <row r="367" spans="1:7">
      <c r="A367" s="858"/>
      <c r="B367" s="876"/>
      <c r="C367" s="220">
        <v>4440</v>
      </c>
      <c r="D367" s="221" t="s">
        <v>236</v>
      </c>
      <c r="E367" s="222">
        <v>4672</v>
      </c>
      <c r="F367" s="227">
        <v>3709</v>
      </c>
      <c r="G367" s="224">
        <f t="shared" si="4"/>
        <v>79.387842465753423</v>
      </c>
    </row>
    <row r="368" spans="1:7">
      <c r="A368" s="858"/>
      <c r="B368" s="876"/>
      <c r="C368" s="316">
        <v>4700</v>
      </c>
      <c r="D368" s="221" t="s">
        <v>239</v>
      </c>
      <c r="E368" s="222">
        <v>120</v>
      </c>
      <c r="F368" s="227">
        <v>0</v>
      </c>
      <c r="G368" s="224">
        <f t="shared" si="4"/>
        <v>0</v>
      </c>
    </row>
    <row r="369" spans="1:7">
      <c r="A369" s="858"/>
      <c r="B369" s="876"/>
      <c r="C369" s="220">
        <v>4740</v>
      </c>
      <c r="D369" s="221" t="s">
        <v>240</v>
      </c>
      <c r="E369" s="222">
        <v>80</v>
      </c>
      <c r="F369" s="227">
        <v>10.24</v>
      </c>
      <c r="G369" s="224">
        <f t="shared" ref="G369:G447" si="5">F369*100/E369</f>
        <v>12.8</v>
      </c>
    </row>
    <row r="370" spans="1:7">
      <c r="A370" s="858"/>
      <c r="B370" s="876"/>
      <c r="C370" s="220">
        <v>4750</v>
      </c>
      <c r="D370" s="221" t="s">
        <v>241</v>
      </c>
      <c r="E370" s="222">
        <v>288</v>
      </c>
      <c r="F370" s="227">
        <v>287.68</v>
      </c>
      <c r="G370" s="224">
        <f t="shared" si="5"/>
        <v>99.888888888888886</v>
      </c>
    </row>
    <row r="371" spans="1:7">
      <c r="A371" s="858"/>
      <c r="B371" s="876"/>
      <c r="C371" s="220"/>
      <c r="D371" s="247" t="s">
        <v>305</v>
      </c>
      <c r="E371" s="244">
        <f>SUM(E372:E374)</f>
        <v>4062</v>
      </c>
      <c r="F371" s="245">
        <f>SUM(F372:F374)</f>
        <v>4062</v>
      </c>
      <c r="G371" s="353">
        <f t="shared" si="5"/>
        <v>100</v>
      </c>
    </row>
    <row r="372" spans="1:7">
      <c r="A372" s="858"/>
      <c r="B372" s="876"/>
      <c r="C372" s="220">
        <v>4040</v>
      </c>
      <c r="D372" s="248" t="s">
        <v>223</v>
      </c>
      <c r="E372" s="222">
        <v>3452</v>
      </c>
      <c r="F372" s="227">
        <v>3452</v>
      </c>
      <c r="G372" s="224">
        <f t="shared" si="5"/>
        <v>100</v>
      </c>
    </row>
    <row r="373" spans="1:7">
      <c r="A373" s="858"/>
      <c r="B373" s="876"/>
      <c r="C373" s="220">
        <v>4110</v>
      </c>
      <c r="D373" s="248" t="s">
        <v>224</v>
      </c>
      <c r="E373" s="222">
        <v>525</v>
      </c>
      <c r="F373" s="227">
        <v>525</v>
      </c>
      <c r="G373" s="224">
        <f t="shared" si="5"/>
        <v>100</v>
      </c>
    </row>
    <row r="374" spans="1:7">
      <c r="A374" s="858"/>
      <c r="B374" s="876"/>
      <c r="C374" s="220">
        <v>4120</v>
      </c>
      <c r="D374" s="248" t="s">
        <v>276</v>
      </c>
      <c r="E374" s="222">
        <v>85</v>
      </c>
      <c r="F374" s="227">
        <v>85</v>
      </c>
      <c r="G374" s="224">
        <f t="shared" si="5"/>
        <v>100</v>
      </c>
    </row>
    <row r="375" spans="1:7">
      <c r="A375" s="858"/>
      <c r="B375" s="876"/>
      <c r="C375" s="215"/>
      <c r="D375" s="356" t="s">
        <v>307</v>
      </c>
      <c r="E375" s="244">
        <f>E376+E377</f>
        <v>466868</v>
      </c>
      <c r="F375" s="336">
        <f>F376+F377</f>
        <v>245539.3</v>
      </c>
      <c r="G375" s="353">
        <f t="shared" si="5"/>
        <v>52.592874217123473</v>
      </c>
    </row>
    <row r="376" spans="1:7" ht="22.5">
      <c r="A376" s="858"/>
      <c r="B376" s="876"/>
      <c r="C376" s="220">
        <v>2540</v>
      </c>
      <c r="D376" s="230" t="s">
        <v>273</v>
      </c>
      <c r="E376" s="222">
        <v>464911</v>
      </c>
      <c r="F376" s="227">
        <v>245539.3</v>
      </c>
      <c r="G376" s="224">
        <f t="shared" si="5"/>
        <v>52.814259073241978</v>
      </c>
    </row>
    <row r="377" spans="1:7">
      <c r="A377" s="858"/>
      <c r="B377" s="877"/>
      <c r="C377" s="316">
        <v>4010</v>
      </c>
      <c r="D377" s="248" t="s">
        <v>222</v>
      </c>
      <c r="E377" s="222">
        <v>1957</v>
      </c>
      <c r="F377" s="227">
        <v>0</v>
      </c>
      <c r="G377" s="224">
        <f t="shared" si="5"/>
        <v>0</v>
      </c>
    </row>
    <row r="378" spans="1:7">
      <c r="A378" s="858"/>
      <c r="B378" s="226">
        <v>80130</v>
      </c>
      <c r="C378" s="226"/>
      <c r="D378" s="249" t="s">
        <v>58</v>
      </c>
      <c r="E378" s="217">
        <f>E379+E405+E445+E424</f>
        <v>4336671</v>
      </c>
      <c r="F378" s="229">
        <f>F379+F405+F445+F424</f>
        <v>2293440.9900000002</v>
      </c>
      <c r="G378" s="219">
        <f t="shared" si="5"/>
        <v>52.884827786105987</v>
      </c>
    </row>
    <row r="379" spans="1:7">
      <c r="A379" s="858"/>
      <c r="B379" s="875"/>
      <c r="C379" s="242"/>
      <c r="D379" s="247" t="s">
        <v>304</v>
      </c>
      <c r="E379" s="244">
        <f>+SUM(E380:E404)</f>
        <v>2924794</v>
      </c>
      <c r="F379" s="245">
        <f>+SUM(F380:F404)</f>
        <v>1700258.42</v>
      </c>
      <c r="G379" s="219">
        <f t="shared" si="5"/>
        <v>58.132587115537028</v>
      </c>
    </row>
    <row r="380" spans="1:7">
      <c r="A380" s="858"/>
      <c r="B380" s="876"/>
      <c r="C380" s="195">
        <v>3020</v>
      </c>
      <c r="D380" s="221" t="s">
        <v>221</v>
      </c>
      <c r="E380" s="222">
        <v>9731</v>
      </c>
      <c r="F380" s="227">
        <v>4179.8500000000004</v>
      </c>
      <c r="G380" s="224">
        <f t="shared" si="5"/>
        <v>42.953961566128875</v>
      </c>
    </row>
    <row r="381" spans="1:7">
      <c r="A381" s="858"/>
      <c r="B381" s="876"/>
      <c r="C381" s="195">
        <v>3240</v>
      </c>
      <c r="D381" s="230" t="s">
        <v>277</v>
      </c>
      <c r="E381" s="222">
        <v>6192</v>
      </c>
      <c r="F381" s="227">
        <v>6192</v>
      </c>
      <c r="G381" s="224">
        <f t="shared" si="5"/>
        <v>100</v>
      </c>
    </row>
    <row r="382" spans="1:7">
      <c r="A382" s="858"/>
      <c r="B382" s="876"/>
      <c r="C382" s="220">
        <v>4010</v>
      </c>
      <c r="D382" s="248" t="s">
        <v>222</v>
      </c>
      <c r="E382" s="222">
        <v>1942586</v>
      </c>
      <c r="F382" s="227">
        <v>1009890.41</v>
      </c>
      <c r="G382" s="224">
        <f t="shared" si="5"/>
        <v>51.986908687697742</v>
      </c>
    </row>
    <row r="383" spans="1:7">
      <c r="A383" s="858"/>
      <c r="B383" s="876"/>
      <c r="C383" s="220">
        <v>4040</v>
      </c>
      <c r="D383" s="248" t="s">
        <v>223</v>
      </c>
      <c r="E383" s="222">
        <v>150181</v>
      </c>
      <c r="F383" s="227">
        <v>150180.69</v>
      </c>
      <c r="G383" s="224">
        <f t="shared" si="5"/>
        <v>99.999793582410561</v>
      </c>
    </row>
    <row r="384" spans="1:7">
      <c r="A384" s="858"/>
      <c r="B384" s="876"/>
      <c r="C384" s="220">
        <v>4110</v>
      </c>
      <c r="D384" s="248" t="s">
        <v>224</v>
      </c>
      <c r="E384" s="222">
        <v>311856</v>
      </c>
      <c r="F384" s="227">
        <v>173243.29</v>
      </c>
      <c r="G384" s="224">
        <f t="shared" si="5"/>
        <v>55.552335052075314</v>
      </c>
    </row>
    <row r="385" spans="1:7">
      <c r="A385" s="858"/>
      <c r="B385" s="876"/>
      <c r="C385" s="220">
        <v>4120</v>
      </c>
      <c r="D385" s="248" t="s">
        <v>276</v>
      </c>
      <c r="E385" s="222">
        <v>50952</v>
      </c>
      <c r="F385" s="227">
        <v>24561.69</v>
      </c>
      <c r="G385" s="224">
        <f t="shared" si="5"/>
        <v>48.205546396608575</v>
      </c>
    </row>
    <row r="386" spans="1:7">
      <c r="A386" s="858"/>
      <c r="B386" s="876"/>
      <c r="C386" s="220">
        <v>4170</v>
      </c>
      <c r="D386" s="221" t="s">
        <v>226</v>
      </c>
      <c r="E386" s="222">
        <v>12727</v>
      </c>
      <c r="F386" s="227">
        <v>11406</v>
      </c>
      <c r="G386" s="224">
        <f t="shared" si="5"/>
        <v>89.620491867682873</v>
      </c>
    </row>
    <row r="387" spans="1:7">
      <c r="A387" s="858"/>
      <c r="B387" s="876"/>
      <c r="C387" s="220">
        <v>4210</v>
      </c>
      <c r="D387" s="248" t="s">
        <v>227</v>
      </c>
      <c r="E387" s="222">
        <v>56789</v>
      </c>
      <c r="F387" s="227">
        <v>42690.35</v>
      </c>
      <c r="G387" s="224">
        <f t="shared" si="5"/>
        <v>75.173625173889306</v>
      </c>
    </row>
    <row r="388" spans="1:7">
      <c r="A388" s="858"/>
      <c r="B388" s="876"/>
      <c r="C388" s="220">
        <v>4260</v>
      </c>
      <c r="D388" s="248" t="s">
        <v>228</v>
      </c>
      <c r="E388" s="222">
        <v>78298</v>
      </c>
      <c r="F388" s="227">
        <v>59638.95</v>
      </c>
      <c r="G388" s="224">
        <f t="shared" si="5"/>
        <v>76.169186952412574</v>
      </c>
    </row>
    <row r="389" spans="1:7">
      <c r="A389" s="858"/>
      <c r="B389" s="876"/>
      <c r="C389" s="220">
        <v>4270</v>
      </c>
      <c r="D389" s="221" t="s">
        <v>229</v>
      </c>
      <c r="E389" s="222">
        <v>15000</v>
      </c>
      <c r="F389" s="227">
        <v>15000.01</v>
      </c>
      <c r="G389" s="224">
        <f t="shared" si="5"/>
        <v>100.00006666666667</v>
      </c>
    </row>
    <row r="390" spans="1:7">
      <c r="A390" s="858"/>
      <c r="B390" s="876"/>
      <c r="C390" s="220">
        <v>4280</v>
      </c>
      <c r="D390" s="221" t="s">
        <v>230</v>
      </c>
      <c r="E390" s="222">
        <v>926</v>
      </c>
      <c r="F390" s="227">
        <v>605.70000000000005</v>
      </c>
      <c r="G390" s="224">
        <f t="shared" si="5"/>
        <v>65.410367170626358</v>
      </c>
    </row>
    <row r="391" spans="1:7">
      <c r="A391" s="858"/>
      <c r="B391" s="876"/>
      <c r="C391" s="220">
        <v>4300</v>
      </c>
      <c r="D391" s="248" t="s">
        <v>216</v>
      </c>
      <c r="E391" s="222">
        <v>68171</v>
      </c>
      <c r="F391" s="227">
        <v>45117.73</v>
      </c>
      <c r="G391" s="224">
        <f t="shared" si="5"/>
        <v>66.183171729914477</v>
      </c>
    </row>
    <row r="392" spans="1:7">
      <c r="A392" s="858"/>
      <c r="B392" s="876"/>
      <c r="C392" s="220">
        <v>4350</v>
      </c>
      <c r="D392" s="221" t="s">
        <v>231</v>
      </c>
      <c r="E392" s="222">
        <v>984</v>
      </c>
      <c r="F392" s="227">
        <v>237.54</v>
      </c>
      <c r="G392" s="224">
        <f t="shared" si="5"/>
        <v>24.140243902439025</v>
      </c>
    </row>
    <row r="393" spans="1:7">
      <c r="A393" s="858"/>
      <c r="B393" s="876"/>
      <c r="C393" s="220">
        <v>4360</v>
      </c>
      <c r="D393" s="221" t="s">
        <v>232</v>
      </c>
      <c r="E393" s="222">
        <v>6520</v>
      </c>
      <c r="F393" s="227">
        <v>2987.39</v>
      </c>
      <c r="G393" s="224">
        <f t="shared" si="5"/>
        <v>45.81886503067485</v>
      </c>
    </row>
    <row r="394" spans="1:7">
      <c r="A394" s="858"/>
      <c r="B394" s="876"/>
      <c r="C394" s="220">
        <v>4370</v>
      </c>
      <c r="D394" s="221" t="s">
        <v>233</v>
      </c>
      <c r="E394" s="222">
        <v>6498</v>
      </c>
      <c r="F394" s="227">
        <v>2884.53</v>
      </c>
      <c r="G394" s="224">
        <f t="shared" si="5"/>
        <v>44.391043397968609</v>
      </c>
    </row>
    <row r="395" spans="1:7">
      <c r="A395" s="858"/>
      <c r="B395" s="876"/>
      <c r="C395" s="220">
        <v>4410</v>
      </c>
      <c r="D395" s="248" t="s">
        <v>234</v>
      </c>
      <c r="E395" s="222">
        <v>7662</v>
      </c>
      <c r="F395" s="227">
        <v>6058.45</v>
      </c>
      <c r="G395" s="224">
        <f t="shared" si="5"/>
        <v>79.071391281649696</v>
      </c>
    </row>
    <row r="396" spans="1:7">
      <c r="A396" s="858"/>
      <c r="B396" s="876"/>
      <c r="C396" s="220">
        <v>4430</v>
      </c>
      <c r="D396" s="221" t="s">
        <v>275</v>
      </c>
      <c r="E396" s="222">
        <v>2198</v>
      </c>
      <c r="F396" s="227">
        <v>1656.06</v>
      </c>
      <c r="G396" s="224">
        <f t="shared" si="5"/>
        <v>75.343949044585983</v>
      </c>
    </row>
    <row r="397" spans="1:7">
      <c r="A397" s="858"/>
      <c r="B397" s="876"/>
      <c r="C397" s="220">
        <v>4440</v>
      </c>
      <c r="D397" s="248" t="s">
        <v>236</v>
      </c>
      <c r="E397" s="222">
        <v>165189</v>
      </c>
      <c r="F397" s="227">
        <v>123892</v>
      </c>
      <c r="G397" s="224">
        <f t="shared" si="5"/>
        <v>75.000151341796368</v>
      </c>
    </row>
    <row r="398" spans="1:7">
      <c r="A398" s="858"/>
      <c r="B398" s="876"/>
      <c r="C398" s="316">
        <v>4480</v>
      </c>
      <c r="D398" s="248" t="s">
        <v>346</v>
      </c>
      <c r="E398" s="222">
        <v>631</v>
      </c>
      <c r="F398" s="227">
        <v>315.26</v>
      </c>
      <c r="G398" s="224">
        <f t="shared" si="5"/>
        <v>49.961965134706816</v>
      </c>
    </row>
    <row r="399" spans="1:7">
      <c r="A399" s="858"/>
      <c r="B399" s="876"/>
      <c r="C399" s="220">
        <v>4530</v>
      </c>
      <c r="D399" s="221" t="s">
        <v>246</v>
      </c>
      <c r="E399" s="222">
        <v>11835</v>
      </c>
      <c r="F399" s="227">
        <v>5233.09</v>
      </c>
      <c r="G399" s="224">
        <f t="shared" si="5"/>
        <v>44.217068018588932</v>
      </c>
    </row>
    <row r="400" spans="1:7">
      <c r="A400" s="858"/>
      <c r="B400" s="876"/>
      <c r="C400" s="220">
        <v>4580</v>
      </c>
      <c r="D400" s="221" t="s">
        <v>74</v>
      </c>
      <c r="E400" s="222">
        <v>472</v>
      </c>
      <c r="F400" s="227">
        <v>214.4</v>
      </c>
      <c r="G400" s="224">
        <f t="shared" si="5"/>
        <v>45.423728813559322</v>
      </c>
    </row>
    <row r="401" spans="1:7">
      <c r="A401" s="858"/>
      <c r="B401" s="876"/>
      <c r="C401" s="220">
        <v>4700</v>
      </c>
      <c r="D401" s="221" t="s">
        <v>239</v>
      </c>
      <c r="E401" s="222">
        <v>1770</v>
      </c>
      <c r="F401" s="227">
        <v>718.21</v>
      </c>
      <c r="G401" s="224">
        <f t="shared" si="5"/>
        <v>40.576836158192087</v>
      </c>
    </row>
    <row r="402" spans="1:7">
      <c r="A402" s="858"/>
      <c r="B402" s="876"/>
      <c r="C402" s="220">
        <v>4740</v>
      </c>
      <c r="D402" s="221" t="s">
        <v>240</v>
      </c>
      <c r="E402" s="222">
        <v>2656</v>
      </c>
      <c r="F402" s="227">
        <v>1524.7</v>
      </c>
      <c r="G402" s="224">
        <f t="shared" si="5"/>
        <v>57.405873493975903</v>
      </c>
    </row>
    <row r="403" spans="1:7">
      <c r="A403" s="858"/>
      <c r="B403" s="876"/>
      <c r="C403" s="220">
        <v>4750</v>
      </c>
      <c r="D403" s="221" t="s">
        <v>241</v>
      </c>
      <c r="E403" s="222">
        <v>7170</v>
      </c>
      <c r="F403" s="227">
        <v>4030.12</v>
      </c>
      <c r="G403" s="224">
        <f t="shared" si="5"/>
        <v>56.208089260808926</v>
      </c>
    </row>
    <row r="404" spans="1:7">
      <c r="A404" s="858"/>
      <c r="B404" s="876"/>
      <c r="C404" s="220">
        <v>6060</v>
      </c>
      <c r="D404" s="221" t="s">
        <v>243</v>
      </c>
      <c r="E404" s="222">
        <v>7800</v>
      </c>
      <c r="F404" s="227">
        <v>7800</v>
      </c>
      <c r="G404" s="224">
        <f t="shared" si="5"/>
        <v>100</v>
      </c>
    </row>
    <row r="405" spans="1:7">
      <c r="A405" s="858"/>
      <c r="B405" s="876"/>
      <c r="C405" s="242"/>
      <c r="D405" s="247" t="s">
        <v>305</v>
      </c>
      <c r="E405" s="244">
        <f>+SUM(E406:E423)</f>
        <v>728079</v>
      </c>
      <c r="F405" s="245">
        <f>+SUM(F406:F423)</f>
        <v>387540.12</v>
      </c>
      <c r="G405" s="219">
        <f t="shared" si="5"/>
        <v>53.227756878031094</v>
      </c>
    </row>
    <row r="406" spans="1:7">
      <c r="A406" s="858"/>
      <c r="B406" s="876"/>
      <c r="C406" s="195">
        <v>3020</v>
      </c>
      <c r="D406" s="221" t="s">
        <v>221</v>
      </c>
      <c r="E406" s="222">
        <v>6167</v>
      </c>
      <c r="F406" s="227">
        <v>4076.32</v>
      </c>
      <c r="G406" s="224">
        <f t="shared" si="5"/>
        <v>66.09891357223934</v>
      </c>
    </row>
    <row r="407" spans="1:7">
      <c r="A407" s="858"/>
      <c r="B407" s="876"/>
      <c r="C407" s="314">
        <v>3240</v>
      </c>
      <c r="D407" s="230" t="s">
        <v>277</v>
      </c>
      <c r="E407" s="222">
        <v>1548</v>
      </c>
      <c r="F407" s="227">
        <v>1548</v>
      </c>
      <c r="G407" s="224">
        <f t="shared" si="5"/>
        <v>100</v>
      </c>
    </row>
    <row r="408" spans="1:7">
      <c r="A408" s="858"/>
      <c r="B408" s="876"/>
      <c r="C408" s="220">
        <v>4010</v>
      </c>
      <c r="D408" s="248" t="s">
        <v>222</v>
      </c>
      <c r="E408" s="222">
        <v>478149</v>
      </c>
      <c r="F408" s="227">
        <v>229890.8</v>
      </c>
      <c r="G408" s="224">
        <f t="shared" si="5"/>
        <v>48.079322554266554</v>
      </c>
    </row>
    <row r="409" spans="1:7">
      <c r="A409" s="858"/>
      <c r="B409" s="876"/>
      <c r="C409" s="220">
        <v>4040</v>
      </c>
      <c r="D409" s="248" t="s">
        <v>223</v>
      </c>
      <c r="E409" s="222">
        <v>46691</v>
      </c>
      <c r="F409" s="227">
        <v>41648.959999999999</v>
      </c>
      <c r="G409" s="224">
        <f t="shared" si="5"/>
        <v>89.2012593433424</v>
      </c>
    </row>
    <row r="410" spans="1:7">
      <c r="A410" s="858"/>
      <c r="B410" s="876"/>
      <c r="C410" s="220">
        <v>4110</v>
      </c>
      <c r="D410" s="248" t="s">
        <v>224</v>
      </c>
      <c r="E410" s="222">
        <v>78473</v>
      </c>
      <c r="F410" s="227">
        <v>39594.980000000003</v>
      </c>
      <c r="G410" s="224">
        <f t="shared" si="5"/>
        <v>50.456819543027542</v>
      </c>
    </row>
    <row r="411" spans="1:7">
      <c r="A411" s="858"/>
      <c r="B411" s="876"/>
      <c r="C411" s="220">
        <v>4120</v>
      </c>
      <c r="D411" s="248" t="s">
        <v>276</v>
      </c>
      <c r="E411" s="222">
        <v>12827</v>
      </c>
      <c r="F411" s="227">
        <v>6728.23</v>
      </c>
      <c r="G411" s="224">
        <f t="shared" si="5"/>
        <v>52.453652451859362</v>
      </c>
    </row>
    <row r="412" spans="1:7">
      <c r="A412" s="858"/>
      <c r="B412" s="876"/>
      <c r="C412" s="220">
        <v>4210</v>
      </c>
      <c r="D412" s="248" t="s">
        <v>227</v>
      </c>
      <c r="E412" s="222">
        <v>16320</v>
      </c>
      <c r="F412" s="227">
        <v>9949.6200000000008</v>
      </c>
      <c r="G412" s="224">
        <f t="shared" si="5"/>
        <v>60.965808823529422</v>
      </c>
    </row>
    <row r="413" spans="1:7">
      <c r="A413" s="858"/>
      <c r="B413" s="876"/>
      <c r="C413" s="220">
        <v>4240</v>
      </c>
      <c r="D413" s="248" t="s">
        <v>270</v>
      </c>
      <c r="E413" s="222">
        <v>1023</v>
      </c>
      <c r="F413" s="227">
        <v>279.13</v>
      </c>
      <c r="G413" s="224">
        <f t="shared" si="5"/>
        <v>27.285434995112414</v>
      </c>
    </row>
    <row r="414" spans="1:7">
      <c r="A414" s="858"/>
      <c r="B414" s="876"/>
      <c r="C414" s="220">
        <v>4260</v>
      </c>
      <c r="D414" s="248" t="s">
        <v>228</v>
      </c>
      <c r="E414" s="222">
        <v>21134</v>
      </c>
      <c r="F414" s="227">
        <v>10476.08</v>
      </c>
      <c r="G414" s="224">
        <f t="shared" si="5"/>
        <v>49.569792751017317</v>
      </c>
    </row>
    <row r="415" spans="1:7">
      <c r="A415" s="858"/>
      <c r="B415" s="876"/>
      <c r="C415" s="316">
        <v>4270</v>
      </c>
      <c r="D415" s="221" t="s">
        <v>229</v>
      </c>
      <c r="E415" s="222">
        <v>2000</v>
      </c>
      <c r="F415" s="227">
        <v>0</v>
      </c>
      <c r="G415" s="224">
        <f t="shared" si="5"/>
        <v>0</v>
      </c>
    </row>
    <row r="416" spans="1:7">
      <c r="A416" s="858"/>
      <c r="B416" s="876"/>
      <c r="C416" s="220">
        <v>4280</v>
      </c>
      <c r="D416" s="221" t="s">
        <v>230</v>
      </c>
      <c r="E416" s="222">
        <v>1125</v>
      </c>
      <c r="F416" s="227">
        <v>60</v>
      </c>
      <c r="G416" s="224">
        <f t="shared" si="5"/>
        <v>5.333333333333333</v>
      </c>
    </row>
    <row r="417" spans="1:7">
      <c r="A417" s="858"/>
      <c r="B417" s="876"/>
      <c r="C417" s="220">
        <v>4300</v>
      </c>
      <c r="D417" s="248" t="s">
        <v>216</v>
      </c>
      <c r="E417" s="222">
        <v>19112</v>
      </c>
      <c r="F417" s="227">
        <v>13659.56</v>
      </c>
      <c r="G417" s="224">
        <f t="shared" si="5"/>
        <v>71.471117622436168</v>
      </c>
    </row>
    <row r="418" spans="1:7">
      <c r="A418" s="858"/>
      <c r="B418" s="876"/>
      <c r="C418" s="220">
        <v>4350</v>
      </c>
      <c r="D418" s="221" t="s">
        <v>231</v>
      </c>
      <c r="E418" s="222">
        <v>785</v>
      </c>
      <c r="F418" s="227">
        <v>690.6</v>
      </c>
      <c r="G418" s="224">
        <f t="shared" si="5"/>
        <v>87.974522292993626</v>
      </c>
    </row>
    <row r="419" spans="1:7">
      <c r="A419" s="858"/>
      <c r="B419" s="876"/>
      <c r="C419" s="220">
        <v>4360</v>
      </c>
      <c r="D419" s="221" t="s">
        <v>232</v>
      </c>
      <c r="E419" s="222">
        <v>417</v>
      </c>
      <c r="F419" s="227">
        <v>289.87</v>
      </c>
      <c r="G419" s="224">
        <f t="shared" si="5"/>
        <v>69.513189448441253</v>
      </c>
    </row>
    <row r="420" spans="1:7">
      <c r="A420" s="858"/>
      <c r="B420" s="876"/>
      <c r="C420" s="220">
        <v>4370</v>
      </c>
      <c r="D420" s="221" t="s">
        <v>233</v>
      </c>
      <c r="E420" s="222">
        <v>2148</v>
      </c>
      <c r="F420" s="227">
        <v>588.89</v>
      </c>
      <c r="G420" s="224">
        <f t="shared" si="5"/>
        <v>27.415735567970206</v>
      </c>
    </row>
    <row r="421" spans="1:7">
      <c r="A421" s="858"/>
      <c r="B421" s="876"/>
      <c r="C421" s="220">
        <v>4410</v>
      </c>
      <c r="D421" s="248" t="s">
        <v>234</v>
      </c>
      <c r="E421" s="222">
        <v>2046</v>
      </c>
      <c r="F421" s="227">
        <v>307.24</v>
      </c>
      <c r="G421" s="224">
        <f t="shared" si="5"/>
        <v>15.01661779081134</v>
      </c>
    </row>
    <row r="422" spans="1:7">
      <c r="A422" s="858"/>
      <c r="B422" s="876"/>
      <c r="C422" s="220">
        <v>4440</v>
      </c>
      <c r="D422" s="248" t="s">
        <v>236</v>
      </c>
      <c r="E422" s="222">
        <v>35909</v>
      </c>
      <c r="F422" s="227">
        <v>26932</v>
      </c>
      <c r="G422" s="224">
        <f t="shared" si="5"/>
        <v>75.000696204294186</v>
      </c>
    </row>
    <row r="423" spans="1:7">
      <c r="A423" s="858"/>
      <c r="B423" s="876"/>
      <c r="C423" s="316">
        <v>4750</v>
      </c>
      <c r="D423" s="221" t="s">
        <v>241</v>
      </c>
      <c r="E423" s="222">
        <v>2205</v>
      </c>
      <c r="F423" s="227">
        <v>819.84</v>
      </c>
      <c r="G423" s="224">
        <f t="shared" si="5"/>
        <v>37.180952380952384</v>
      </c>
    </row>
    <row r="424" spans="1:7">
      <c r="A424" s="858"/>
      <c r="B424" s="876"/>
      <c r="C424" s="246"/>
      <c r="D424" s="243" t="s">
        <v>284</v>
      </c>
      <c r="E424" s="217">
        <f>SUM(E425:E444)</f>
        <v>106558</v>
      </c>
      <c r="F424" s="229">
        <f>SUM(F425:F444)</f>
        <v>61018.450000000004</v>
      </c>
      <c r="G424" s="219">
        <f t="shared" si="5"/>
        <v>57.263133692449181</v>
      </c>
    </row>
    <row r="425" spans="1:7">
      <c r="A425" s="858"/>
      <c r="B425" s="876"/>
      <c r="C425" s="316">
        <v>3020</v>
      </c>
      <c r="D425" s="221" t="s">
        <v>221</v>
      </c>
      <c r="E425" s="222">
        <v>300</v>
      </c>
      <c r="F425" s="227">
        <v>142</v>
      </c>
      <c r="G425" s="224">
        <f t="shared" si="5"/>
        <v>47.333333333333336</v>
      </c>
    </row>
    <row r="426" spans="1:7">
      <c r="A426" s="858"/>
      <c r="B426" s="876"/>
      <c r="C426" s="316">
        <v>4010</v>
      </c>
      <c r="D426" s="221" t="s">
        <v>222</v>
      </c>
      <c r="E426" s="222">
        <v>64505</v>
      </c>
      <c r="F426" s="227">
        <v>33100.86</v>
      </c>
      <c r="G426" s="224">
        <f t="shared" si="5"/>
        <v>51.315184869389967</v>
      </c>
    </row>
    <row r="427" spans="1:7">
      <c r="A427" s="858"/>
      <c r="B427" s="876"/>
      <c r="C427" s="316">
        <v>4040</v>
      </c>
      <c r="D427" s="221" t="s">
        <v>223</v>
      </c>
      <c r="E427" s="222">
        <v>5909</v>
      </c>
      <c r="F427" s="227">
        <v>5908.84</v>
      </c>
      <c r="G427" s="224">
        <f t="shared" si="5"/>
        <v>99.997292266034862</v>
      </c>
    </row>
    <row r="428" spans="1:7">
      <c r="A428" s="858"/>
      <c r="B428" s="876"/>
      <c r="C428" s="316">
        <v>4110</v>
      </c>
      <c r="D428" s="221" t="s">
        <v>224</v>
      </c>
      <c r="E428" s="222">
        <v>10545</v>
      </c>
      <c r="F428" s="227">
        <v>5355.2</v>
      </c>
      <c r="G428" s="224">
        <f t="shared" si="5"/>
        <v>50.784257942152678</v>
      </c>
    </row>
    <row r="429" spans="1:7">
      <c r="A429" s="858"/>
      <c r="B429" s="876"/>
      <c r="C429" s="316">
        <v>4120</v>
      </c>
      <c r="D429" s="221" t="s">
        <v>225</v>
      </c>
      <c r="E429" s="222">
        <v>1717</v>
      </c>
      <c r="F429" s="227">
        <v>908.82</v>
      </c>
      <c r="G429" s="224">
        <f t="shared" si="5"/>
        <v>52.930693069306933</v>
      </c>
    </row>
    <row r="430" spans="1:7">
      <c r="A430" s="858"/>
      <c r="B430" s="876"/>
      <c r="C430" s="316">
        <v>4170</v>
      </c>
      <c r="D430" s="221" t="s">
        <v>226</v>
      </c>
      <c r="E430" s="222">
        <v>869</v>
      </c>
      <c r="F430" s="227">
        <v>235.8</v>
      </c>
      <c r="G430" s="224">
        <f t="shared" si="5"/>
        <v>27.134637514384348</v>
      </c>
    </row>
    <row r="431" spans="1:7">
      <c r="A431" s="858"/>
      <c r="B431" s="876"/>
      <c r="C431" s="316">
        <v>4210</v>
      </c>
      <c r="D431" s="221" t="s">
        <v>227</v>
      </c>
      <c r="E431" s="222">
        <v>800</v>
      </c>
      <c r="F431" s="227">
        <v>346.29</v>
      </c>
      <c r="G431" s="224">
        <f t="shared" si="5"/>
        <v>43.286250000000003</v>
      </c>
    </row>
    <row r="432" spans="1:7">
      <c r="A432" s="858"/>
      <c r="B432" s="876"/>
      <c r="C432" s="316">
        <v>4240</v>
      </c>
      <c r="D432" s="221" t="s">
        <v>270</v>
      </c>
      <c r="E432" s="222">
        <v>240</v>
      </c>
      <c r="F432" s="227">
        <v>60.1</v>
      </c>
      <c r="G432" s="224">
        <f t="shared" si="5"/>
        <v>25.041666666666668</v>
      </c>
    </row>
    <row r="433" spans="1:7">
      <c r="A433" s="858"/>
      <c r="B433" s="876"/>
      <c r="C433" s="316">
        <v>4260</v>
      </c>
      <c r="D433" s="221" t="s">
        <v>228</v>
      </c>
      <c r="E433" s="222">
        <v>10292</v>
      </c>
      <c r="F433" s="227">
        <v>7132.8</v>
      </c>
      <c r="G433" s="224">
        <f t="shared" si="5"/>
        <v>69.304314030314814</v>
      </c>
    </row>
    <row r="434" spans="1:7">
      <c r="A434" s="858"/>
      <c r="B434" s="876"/>
      <c r="C434" s="316">
        <v>4270</v>
      </c>
      <c r="D434" s="221" t="s">
        <v>229</v>
      </c>
      <c r="E434" s="222">
        <v>500</v>
      </c>
      <c r="F434" s="227">
        <v>191.93</v>
      </c>
      <c r="G434" s="224">
        <f t="shared" si="5"/>
        <v>38.386000000000003</v>
      </c>
    </row>
    <row r="435" spans="1:7">
      <c r="A435" s="858"/>
      <c r="B435" s="876"/>
      <c r="C435" s="316">
        <v>4280</v>
      </c>
      <c r="D435" s="221" t="s">
        <v>230</v>
      </c>
      <c r="E435" s="222">
        <v>100</v>
      </c>
      <c r="F435" s="227">
        <v>6</v>
      </c>
      <c r="G435" s="224">
        <f t="shared" si="5"/>
        <v>6</v>
      </c>
    </row>
    <row r="436" spans="1:7">
      <c r="A436" s="858"/>
      <c r="B436" s="876"/>
      <c r="C436" s="316">
        <v>4300</v>
      </c>
      <c r="D436" s="221" t="s">
        <v>216</v>
      </c>
      <c r="E436" s="222">
        <v>4710</v>
      </c>
      <c r="F436" s="227">
        <v>3088.98</v>
      </c>
      <c r="G436" s="224">
        <f t="shared" si="5"/>
        <v>65.583439490445855</v>
      </c>
    </row>
    <row r="437" spans="1:7">
      <c r="A437" s="858"/>
      <c r="B437" s="876"/>
      <c r="C437" s="316">
        <v>4350</v>
      </c>
      <c r="D437" s="221" t="s">
        <v>231</v>
      </c>
      <c r="E437" s="222">
        <v>240</v>
      </c>
      <c r="F437" s="227">
        <v>120</v>
      </c>
      <c r="G437" s="224">
        <f t="shared" si="5"/>
        <v>50</v>
      </c>
    </row>
    <row r="438" spans="1:7">
      <c r="A438" s="858"/>
      <c r="B438" s="876"/>
      <c r="C438" s="316">
        <v>4370</v>
      </c>
      <c r="D438" s="221" t="s">
        <v>233</v>
      </c>
      <c r="E438" s="222">
        <v>360</v>
      </c>
      <c r="F438" s="227">
        <v>136.37</v>
      </c>
      <c r="G438" s="224">
        <f t="shared" si="5"/>
        <v>37.880555555555553</v>
      </c>
    </row>
    <row r="439" spans="1:7">
      <c r="A439" s="858"/>
      <c r="B439" s="876"/>
      <c r="C439" s="316">
        <v>4410</v>
      </c>
      <c r="D439" s="221" t="s">
        <v>234</v>
      </c>
      <c r="E439" s="222">
        <v>175</v>
      </c>
      <c r="F439" s="227">
        <v>141.55000000000001</v>
      </c>
      <c r="G439" s="224">
        <f t="shared" si="5"/>
        <v>80.8857142857143</v>
      </c>
    </row>
    <row r="440" spans="1:7">
      <c r="A440" s="858"/>
      <c r="B440" s="876"/>
      <c r="C440" s="316">
        <v>4420</v>
      </c>
      <c r="D440" s="221" t="s">
        <v>345</v>
      </c>
      <c r="E440" s="222">
        <v>136</v>
      </c>
      <c r="F440" s="227">
        <v>135.99</v>
      </c>
      <c r="G440" s="224">
        <f t="shared" si="5"/>
        <v>99.992647058823536</v>
      </c>
    </row>
    <row r="441" spans="1:7">
      <c r="A441" s="858"/>
      <c r="B441" s="876"/>
      <c r="C441" s="316">
        <v>4440</v>
      </c>
      <c r="D441" s="221" t="s">
        <v>236</v>
      </c>
      <c r="E441" s="222">
        <v>4672</v>
      </c>
      <c r="F441" s="227">
        <v>3709</v>
      </c>
      <c r="G441" s="224">
        <f t="shared" si="5"/>
        <v>79.387842465753423</v>
      </c>
    </row>
    <row r="442" spans="1:7">
      <c r="A442" s="858"/>
      <c r="B442" s="876"/>
      <c r="C442" s="316">
        <v>4700</v>
      </c>
      <c r="D442" s="221" t="s">
        <v>239</v>
      </c>
      <c r="E442" s="222">
        <v>120</v>
      </c>
      <c r="F442" s="227">
        <v>0</v>
      </c>
      <c r="G442" s="224">
        <f t="shared" si="5"/>
        <v>0</v>
      </c>
    </row>
    <row r="443" spans="1:7">
      <c r="A443" s="858"/>
      <c r="B443" s="876"/>
      <c r="C443" s="316">
        <v>4740</v>
      </c>
      <c r="D443" s="221" t="s">
        <v>240</v>
      </c>
      <c r="E443" s="222">
        <v>80</v>
      </c>
      <c r="F443" s="227">
        <v>10.24</v>
      </c>
      <c r="G443" s="224">
        <f t="shared" si="5"/>
        <v>12.8</v>
      </c>
    </row>
    <row r="444" spans="1:7">
      <c r="A444" s="858"/>
      <c r="B444" s="876"/>
      <c r="C444" s="316">
        <v>4750</v>
      </c>
      <c r="D444" s="221" t="s">
        <v>241</v>
      </c>
      <c r="E444" s="222">
        <v>288</v>
      </c>
      <c r="F444" s="227">
        <v>287.68</v>
      </c>
      <c r="G444" s="224">
        <f t="shared" si="5"/>
        <v>99.888888888888886</v>
      </c>
    </row>
    <row r="445" spans="1:7">
      <c r="A445" s="858"/>
      <c r="B445" s="876"/>
      <c r="C445" s="242"/>
      <c r="D445" s="356" t="s">
        <v>307</v>
      </c>
      <c r="E445" s="244">
        <f>E446+E447+E448</f>
        <v>577240</v>
      </c>
      <c r="F445" s="336">
        <f>F446+F447+F448</f>
        <v>144624</v>
      </c>
      <c r="G445" s="353">
        <f t="shared" si="5"/>
        <v>25.054396784699605</v>
      </c>
    </row>
    <row r="446" spans="1:7" ht="22.5">
      <c r="A446" s="858"/>
      <c r="B446" s="876"/>
      <c r="C446" s="220">
        <v>2540</v>
      </c>
      <c r="D446" s="230" t="s">
        <v>273</v>
      </c>
      <c r="E446" s="222">
        <v>552081</v>
      </c>
      <c r="F446" s="227">
        <v>142324</v>
      </c>
      <c r="G446" s="224">
        <f t="shared" si="5"/>
        <v>25.779550464515172</v>
      </c>
    </row>
    <row r="447" spans="1:7">
      <c r="A447" s="858"/>
      <c r="B447" s="876"/>
      <c r="C447" s="316">
        <v>3240</v>
      </c>
      <c r="D447" s="248" t="s">
        <v>347</v>
      </c>
      <c r="E447" s="222">
        <v>2300</v>
      </c>
      <c r="F447" s="227">
        <v>2300</v>
      </c>
      <c r="G447" s="224">
        <f t="shared" si="5"/>
        <v>100</v>
      </c>
    </row>
    <row r="448" spans="1:7">
      <c r="A448" s="858"/>
      <c r="B448" s="877"/>
      <c r="C448" s="316">
        <v>4010</v>
      </c>
      <c r="D448" s="248" t="s">
        <v>222</v>
      </c>
      <c r="E448" s="222">
        <v>22859</v>
      </c>
      <c r="F448" s="227">
        <v>0</v>
      </c>
      <c r="G448" s="224">
        <f t="shared" ref="G448:G494" si="6">F448*100/E448</f>
        <v>0</v>
      </c>
    </row>
    <row r="449" spans="1:7" ht="12.75" customHeight="1">
      <c r="A449" s="858"/>
      <c r="B449" s="337">
        <v>80140</v>
      </c>
      <c r="C449" s="348"/>
      <c r="D449" s="88" t="s">
        <v>475</v>
      </c>
      <c r="E449" s="217">
        <f>SUM(E450:E463)</f>
        <v>141116</v>
      </c>
      <c r="F449" s="229">
        <f>SUM(F450:F463)</f>
        <v>92968.450000000012</v>
      </c>
      <c r="G449" s="219">
        <f t="shared" si="6"/>
        <v>65.880871056435851</v>
      </c>
    </row>
    <row r="450" spans="1:7">
      <c r="A450" s="858"/>
      <c r="B450" s="875"/>
      <c r="C450" s="233">
        <v>4010</v>
      </c>
      <c r="D450" s="221" t="s">
        <v>222</v>
      </c>
      <c r="E450" s="222">
        <v>23368</v>
      </c>
      <c r="F450" s="227">
        <v>11302.31</v>
      </c>
      <c r="G450" s="224">
        <f t="shared" si="6"/>
        <v>48.366612461485794</v>
      </c>
    </row>
    <row r="451" spans="1:7">
      <c r="A451" s="858"/>
      <c r="B451" s="876"/>
      <c r="C451" s="233">
        <v>4110</v>
      </c>
      <c r="D451" s="221" t="s">
        <v>224</v>
      </c>
      <c r="E451" s="222">
        <v>4076</v>
      </c>
      <c r="F451" s="227">
        <v>2291.6</v>
      </c>
      <c r="G451" s="224">
        <f t="shared" si="6"/>
        <v>56.221786064769383</v>
      </c>
    </row>
    <row r="452" spans="1:7">
      <c r="A452" s="858"/>
      <c r="B452" s="876"/>
      <c r="C452" s="233">
        <v>4120</v>
      </c>
      <c r="D452" s="221" t="s">
        <v>225</v>
      </c>
      <c r="E452" s="222">
        <v>646</v>
      </c>
      <c r="F452" s="227">
        <v>363.14</v>
      </c>
      <c r="G452" s="224">
        <f t="shared" si="6"/>
        <v>56.213622291021672</v>
      </c>
    </row>
    <row r="453" spans="1:7">
      <c r="A453" s="858"/>
      <c r="B453" s="876"/>
      <c r="C453" s="233">
        <v>4170</v>
      </c>
      <c r="D453" s="221" t="s">
        <v>226</v>
      </c>
      <c r="E453" s="222">
        <v>15000</v>
      </c>
      <c r="F453" s="227">
        <v>12016.23</v>
      </c>
      <c r="G453" s="224">
        <f t="shared" si="6"/>
        <v>80.108199999999997</v>
      </c>
    </row>
    <row r="454" spans="1:7">
      <c r="A454" s="858"/>
      <c r="B454" s="876"/>
      <c r="C454" s="233">
        <v>4210</v>
      </c>
      <c r="D454" s="221" t="s">
        <v>227</v>
      </c>
      <c r="E454" s="222">
        <v>31329</v>
      </c>
      <c r="F454" s="227">
        <v>27122.45</v>
      </c>
      <c r="G454" s="224">
        <f t="shared" si="6"/>
        <v>86.572983497717772</v>
      </c>
    </row>
    <row r="455" spans="1:7">
      <c r="A455" s="858"/>
      <c r="B455" s="876"/>
      <c r="C455" s="233">
        <v>4260</v>
      </c>
      <c r="D455" s="221" t="s">
        <v>228</v>
      </c>
      <c r="E455" s="222">
        <v>36000</v>
      </c>
      <c r="F455" s="227">
        <v>18076.400000000001</v>
      </c>
      <c r="G455" s="224">
        <f t="shared" si="6"/>
        <v>50.212222222222231</v>
      </c>
    </row>
    <row r="456" spans="1:7">
      <c r="A456" s="858"/>
      <c r="B456" s="876"/>
      <c r="C456" s="233">
        <v>4270</v>
      </c>
      <c r="D456" s="221" t="s">
        <v>229</v>
      </c>
      <c r="E456" s="222">
        <v>5000</v>
      </c>
      <c r="F456" s="227">
        <v>5000</v>
      </c>
      <c r="G456" s="224">
        <f t="shared" si="6"/>
        <v>100</v>
      </c>
    </row>
    <row r="457" spans="1:7">
      <c r="A457" s="858"/>
      <c r="B457" s="876"/>
      <c r="C457" s="233">
        <v>4280</v>
      </c>
      <c r="D457" s="221" t="s">
        <v>230</v>
      </c>
      <c r="E457" s="222">
        <v>35</v>
      </c>
      <c r="F457" s="227">
        <v>35</v>
      </c>
      <c r="G457" s="224">
        <f t="shared" si="6"/>
        <v>100</v>
      </c>
    </row>
    <row r="458" spans="1:7">
      <c r="A458" s="858"/>
      <c r="B458" s="876"/>
      <c r="C458" s="233">
        <v>4300</v>
      </c>
      <c r="D458" s="221" t="s">
        <v>216</v>
      </c>
      <c r="E458" s="222">
        <v>4000</v>
      </c>
      <c r="F458" s="227">
        <v>1187.1099999999999</v>
      </c>
      <c r="G458" s="224">
        <f t="shared" si="6"/>
        <v>29.677749999999996</v>
      </c>
    </row>
    <row r="459" spans="1:7">
      <c r="A459" s="858"/>
      <c r="B459" s="876"/>
      <c r="C459" s="233">
        <v>4370</v>
      </c>
      <c r="D459" s="221" t="s">
        <v>233</v>
      </c>
      <c r="E459" s="222">
        <v>2000</v>
      </c>
      <c r="F459" s="227">
        <v>599.26</v>
      </c>
      <c r="G459" s="224">
        <f t="shared" si="6"/>
        <v>29.963000000000001</v>
      </c>
    </row>
    <row r="460" spans="1:7">
      <c r="A460" s="858"/>
      <c r="B460" s="876"/>
      <c r="C460" s="233">
        <v>4430</v>
      </c>
      <c r="D460" s="221" t="s">
        <v>275</v>
      </c>
      <c r="E460" s="222">
        <v>54</v>
      </c>
      <c r="F460" s="227">
        <v>54</v>
      </c>
      <c r="G460" s="224">
        <f t="shared" si="6"/>
        <v>100</v>
      </c>
    </row>
    <row r="461" spans="1:7">
      <c r="A461" s="858"/>
      <c r="B461" s="876"/>
      <c r="C461" s="233">
        <v>4480</v>
      </c>
      <c r="D461" s="248" t="s">
        <v>346</v>
      </c>
      <c r="E461" s="222">
        <v>4710</v>
      </c>
      <c r="F461" s="227">
        <v>1360</v>
      </c>
      <c r="G461" s="224">
        <f t="shared" si="6"/>
        <v>28.874734607218684</v>
      </c>
    </row>
    <row r="462" spans="1:7">
      <c r="A462" s="858"/>
      <c r="B462" s="876"/>
      <c r="C462" s="233">
        <v>4440</v>
      </c>
      <c r="D462" s="221" t="s">
        <v>236</v>
      </c>
      <c r="E462" s="222">
        <v>1813</v>
      </c>
      <c r="F462" s="227">
        <v>2199.7399999999998</v>
      </c>
      <c r="G462" s="224">
        <f t="shared" si="6"/>
        <v>121.33149476006618</v>
      </c>
    </row>
    <row r="463" spans="1:7">
      <c r="A463" s="858"/>
      <c r="B463" s="877"/>
      <c r="C463" s="233">
        <v>4530</v>
      </c>
      <c r="D463" s="221" t="s">
        <v>246</v>
      </c>
      <c r="E463" s="222">
        <v>13085</v>
      </c>
      <c r="F463" s="227">
        <v>11361.21</v>
      </c>
      <c r="G463" s="224">
        <f t="shared" si="6"/>
        <v>86.826213221245695</v>
      </c>
    </row>
    <row r="464" spans="1:7">
      <c r="A464" s="858"/>
      <c r="B464" s="315">
        <v>80146</v>
      </c>
      <c r="C464" s="226"/>
      <c r="D464" s="249" t="s">
        <v>100</v>
      </c>
      <c r="E464" s="217">
        <f>E465+E469+E473+E475+E478+E481</f>
        <v>47889</v>
      </c>
      <c r="F464" s="229">
        <f>F465+F469+F473+F475+F478+F481</f>
        <v>25998.289999999997</v>
      </c>
      <c r="G464" s="219">
        <f t="shared" ref="G464:G541" si="7">F464*100/E464</f>
        <v>54.288646662072701</v>
      </c>
    </row>
    <row r="465" spans="1:7">
      <c r="A465" s="858"/>
      <c r="B465" s="857"/>
      <c r="C465" s="333"/>
      <c r="D465" s="247" t="s">
        <v>281</v>
      </c>
      <c r="E465" s="244">
        <f>E466+E467+E468</f>
        <v>14193</v>
      </c>
      <c r="F465" s="336">
        <f>F466+F467+F468</f>
        <v>8653.52</v>
      </c>
      <c r="G465" s="351">
        <f t="shared" si="6"/>
        <v>60.970337490312126</v>
      </c>
    </row>
    <row r="466" spans="1:7">
      <c r="A466" s="858"/>
      <c r="B466" s="858"/>
      <c r="C466" s="250">
        <v>4240</v>
      </c>
      <c r="D466" s="221" t="s">
        <v>270</v>
      </c>
      <c r="E466" s="222">
        <v>5000</v>
      </c>
      <c r="F466" s="227">
        <v>3499</v>
      </c>
      <c r="G466" s="224">
        <f t="shared" si="6"/>
        <v>69.98</v>
      </c>
    </row>
    <row r="467" spans="1:7">
      <c r="A467" s="858"/>
      <c r="B467" s="858"/>
      <c r="C467" s="250">
        <v>4300</v>
      </c>
      <c r="D467" s="248" t="s">
        <v>216</v>
      </c>
      <c r="E467" s="222">
        <v>7193</v>
      </c>
      <c r="F467" s="227">
        <v>3900</v>
      </c>
      <c r="G467" s="224">
        <f t="shared" si="6"/>
        <v>54.219379952731821</v>
      </c>
    </row>
    <row r="468" spans="1:7">
      <c r="A468" s="858"/>
      <c r="B468" s="858"/>
      <c r="C468" s="250">
        <v>4410</v>
      </c>
      <c r="D468" s="221" t="s">
        <v>234</v>
      </c>
      <c r="E468" s="222">
        <v>2000</v>
      </c>
      <c r="F468" s="227">
        <v>1254.52</v>
      </c>
      <c r="G468" s="224">
        <f t="shared" si="6"/>
        <v>62.725999999999999</v>
      </c>
    </row>
    <row r="469" spans="1:7">
      <c r="A469" s="858"/>
      <c r="B469" s="858"/>
      <c r="C469" s="250"/>
      <c r="D469" s="357" t="s">
        <v>280</v>
      </c>
      <c r="E469" s="244">
        <f>E470+E471+E472</f>
        <v>10689</v>
      </c>
      <c r="F469" s="336">
        <f>F470+F471+F472</f>
        <v>10308.719999999999</v>
      </c>
      <c r="G469" s="353">
        <f t="shared" si="6"/>
        <v>96.442323884367099</v>
      </c>
    </row>
    <row r="470" spans="1:7">
      <c r="A470" s="858"/>
      <c r="B470" s="858"/>
      <c r="C470" s="250">
        <v>4300</v>
      </c>
      <c r="D470" s="248" t="s">
        <v>216</v>
      </c>
      <c r="E470" s="222">
        <v>9600</v>
      </c>
      <c r="F470" s="227">
        <v>9600</v>
      </c>
      <c r="G470" s="224">
        <f t="shared" si="6"/>
        <v>100</v>
      </c>
    </row>
    <row r="471" spans="1:7">
      <c r="A471" s="858"/>
      <c r="B471" s="858"/>
      <c r="C471" s="250">
        <v>4410</v>
      </c>
      <c r="D471" s="221" t="s">
        <v>234</v>
      </c>
      <c r="E471" s="222">
        <v>489</v>
      </c>
      <c r="F471" s="227">
        <v>108.72</v>
      </c>
      <c r="G471" s="224">
        <f t="shared" si="6"/>
        <v>22.233128834355828</v>
      </c>
    </row>
    <row r="472" spans="1:7">
      <c r="A472" s="858"/>
      <c r="B472" s="858"/>
      <c r="C472" s="250">
        <v>4750</v>
      </c>
      <c r="D472" s="221" t="s">
        <v>241</v>
      </c>
      <c r="E472" s="222">
        <v>600</v>
      </c>
      <c r="F472" s="227">
        <v>600</v>
      </c>
      <c r="G472" s="224">
        <f t="shared" si="6"/>
        <v>100</v>
      </c>
    </row>
    <row r="473" spans="1:7">
      <c r="A473" s="858"/>
      <c r="B473" s="858"/>
      <c r="C473" s="250"/>
      <c r="D473" s="357" t="s">
        <v>282</v>
      </c>
      <c r="E473" s="244">
        <f>E474</f>
        <v>7092</v>
      </c>
      <c r="F473" s="336">
        <f>F474</f>
        <v>1550</v>
      </c>
      <c r="G473" s="353">
        <f t="shared" si="6"/>
        <v>21.855611957134801</v>
      </c>
    </row>
    <row r="474" spans="1:7">
      <c r="A474" s="858"/>
      <c r="B474" s="858"/>
      <c r="C474" s="250">
        <v>4300</v>
      </c>
      <c r="D474" s="248" t="s">
        <v>216</v>
      </c>
      <c r="E474" s="222">
        <v>7092</v>
      </c>
      <c r="F474" s="227">
        <v>1550</v>
      </c>
      <c r="G474" s="224">
        <f t="shared" si="6"/>
        <v>21.855611957134801</v>
      </c>
    </row>
    <row r="475" spans="1:7">
      <c r="A475" s="858"/>
      <c r="B475" s="858"/>
      <c r="C475" s="250"/>
      <c r="D475" s="357" t="s">
        <v>284</v>
      </c>
      <c r="E475" s="244">
        <f>E476+E477</f>
        <v>2556</v>
      </c>
      <c r="F475" s="336">
        <f>F476+F477</f>
        <v>622.04999999999995</v>
      </c>
      <c r="G475" s="353">
        <f t="shared" si="6"/>
        <v>24.336854460093893</v>
      </c>
    </row>
    <row r="476" spans="1:7">
      <c r="A476" s="858"/>
      <c r="B476" s="858"/>
      <c r="C476" s="250">
        <v>4300</v>
      </c>
      <c r="D476" s="248" t="s">
        <v>216</v>
      </c>
      <c r="E476" s="222">
        <v>1800</v>
      </c>
      <c r="F476" s="227">
        <v>350</v>
      </c>
      <c r="G476" s="224">
        <f t="shared" si="6"/>
        <v>19.444444444444443</v>
      </c>
    </row>
    <row r="477" spans="1:7">
      <c r="A477" s="858"/>
      <c r="B477" s="858"/>
      <c r="C477" s="250">
        <v>4410</v>
      </c>
      <c r="D477" s="221" t="s">
        <v>234</v>
      </c>
      <c r="E477" s="222">
        <v>756</v>
      </c>
      <c r="F477" s="227">
        <v>272.05</v>
      </c>
      <c r="G477" s="224">
        <f t="shared" si="6"/>
        <v>35.985449735449734</v>
      </c>
    </row>
    <row r="478" spans="1:7">
      <c r="A478" s="858"/>
      <c r="B478" s="858"/>
      <c r="C478" s="250"/>
      <c r="D478" s="357" t="s">
        <v>283</v>
      </c>
      <c r="E478" s="244">
        <f>E479+E480</f>
        <v>5859</v>
      </c>
      <c r="F478" s="336">
        <f>F479+F480</f>
        <v>3672</v>
      </c>
      <c r="G478" s="353">
        <f t="shared" si="6"/>
        <v>62.672811059907836</v>
      </c>
    </row>
    <row r="479" spans="1:7">
      <c r="A479" s="858"/>
      <c r="B479" s="858"/>
      <c r="C479" s="250">
        <v>4300</v>
      </c>
      <c r="D479" s="248" t="s">
        <v>216</v>
      </c>
      <c r="E479" s="222">
        <v>3917</v>
      </c>
      <c r="F479" s="227">
        <v>3250</v>
      </c>
      <c r="G479" s="224">
        <f t="shared" si="6"/>
        <v>82.971661986213945</v>
      </c>
    </row>
    <row r="480" spans="1:7">
      <c r="A480" s="858"/>
      <c r="B480" s="858"/>
      <c r="C480" s="250">
        <v>4700</v>
      </c>
      <c r="D480" s="221" t="s">
        <v>239</v>
      </c>
      <c r="E480" s="222">
        <v>1942</v>
      </c>
      <c r="F480" s="227">
        <v>422</v>
      </c>
      <c r="G480" s="224">
        <f t="shared" si="6"/>
        <v>21.730175077239959</v>
      </c>
    </row>
    <row r="481" spans="1:7">
      <c r="A481" s="858"/>
      <c r="B481" s="858"/>
      <c r="C481" s="355"/>
      <c r="D481" s="285" t="s">
        <v>279</v>
      </c>
      <c r="E481" s="244">
        <f>E482</f>
        <v>7500</v>
      </c>
      <c r="F481" s="336">
        <f>F482</f>
        <v>1192</v>
      </c>
      <c r="G481" s="353">
        <f t="shared" si="6"/>
        <v>15.893333333333333</v>
      </c>
    </row>
    <row r="482" spans="1:7">
      <c r="A482" s="858"/>
      <c r="B482" s="859"/>
      <c r="C482" s="250">
        <v>4300</v>
      </c>
      <c r="D482" s="281" t="s">
        <v>216</v>
      </c>
      <c r="E482" s="260">
        <v>7500</v>
      </c>
      <c r="F482" s="261">
        <v>1192</v>
      </c>
      <c r="G482" s="224">
        <f t="shared" si="6"/>
        <v>15.893333333333333</v>
      </c>
    </row>
    <row r="483" spans="1:7">
      <c r="A483" s="858"/>
      <c r="B483" s="319">
        <v>80148</v>
      </c>
      <c r="C483" s="338"/>
      <c r="D483" s="264" t="s">
        <v>324</v>
      </c>
      <c r="E483" s="217">
        <f>SUM(E484:E491)</f>
        <v>171034</v>
      </c>
      <c r="F483" s="229">
        <f>SUM(F484:F491)</f>
        <v>89813.42</v>
      </c>
      <c r="G483" s="219">
        <f t="shared" si="6"/>
        <v>52.512026848462881</v>
      </c>
    </row>
    <row r="484" spans="1:7">
      <c r="A484" s="858"/>
      <c r="B484" s="884"/>
      <c r="C484" s="327">
        <v>4010</v>
      </c>
      <c r="D484" s="221" t="s">
        <v>222</v>
      </c>
      <c r="E484" s="277">
        <v>48780</v>
      </c>
      <c r="F484" s="278">
        <v>19680.68</v>
      </c>
      <c r="G484" s="224">
        <f t="shared" si="6"/>
        <v>40.345797457974577</v>
      </c>
    </row>
    <row r="485" spans="1:7">
      <c r="A485" s="858"/>
      <c r="B485" s="885"/>
      <c r="C485" s="327">
        <v>4110</v>
      </c>
      <c r="D485" s="221" t="s">
        <v>224</v>
      </c>
      <c r="E485" s="277">
        <v>7322</v>
      </c>
      <c r="F485" s="278">
        <v>4679</v>
      </c>
      <c r="G485" s="224">
        <f t="shared" si="6"/>
        <v>63.90330510789402</v>
      </c>
    </row>
    <row r="486" spans="1:7">
      <c r="A486" s="858"/>
      <c r="B486" s="885"/>
      <c r="C486" s="327">
        <v>4120</v>
      </c>
      <c r="D486" s="221" t="s">
        <v>225</v>
      </c>
      <c r="E486" s="277">
        <v>1194</v>
      </c>
      <c r="F486" s="278">
        <v>398.17</v>
      </c>
      <c r="G486" s="224">
        <f t="shared" si="6"/>
        <v>33.347571189279734</v>
      </c>
    </row>
    <row r="487" spans="1:7">
      <c r="A487" s="858"/>
      <c r="B487" s="885"/>
      <c r="C487" s="327">
        <v>4210</v>
      </c>
      <c r="D487" s="221" t="s">
        <v>227</v>
      </c>
      <c r="E487" s="277">
        <v>6065</v>
      </c>
      <c r="F487" s="278">
        <v>1040.78</v>
      </c>
      <c r="G487" s="224">
        <f t="shared" si="6"/>
        <v>17.16042868920033</v>
      </c>
    </row>
    <row r="488" spans="1:7">
      <c r="A488" s="858"/>
      <c r="B488" s="885"/>
      <c r="C488" s="325">
        <v>4220</v>
      </c>
      <c r="D488" s="268" t="s">
        <v>293</v>
      </c>
      <c r="E488" s="277">
        <v>86178</v>
      </c>
      <c r="F488" s="278">
        <v>53970.23</v>
      </c>
      <c r="G488" s="224">
        <f t="shared" si="6"/>
        <v>62.62645918912019</v>
      </c>
    </row>
    <row r="489" spans="1:7">
      <c r="A489" s="858"/>
      <c r="B489" s="885"/>
      <c r="C489" s="327">
        <v>4260</v>
      </c>
      <c r="D489" s="221" t="s">
        <v>228</v>
      </c>
      <c r="E489" s="277">
        <v>7180</v>
      </c>
      <c r="F489" s="278">
        <v>5538.04</v>
      </c>
      <c r="G489" s="224">
        <f t="shared" si="6"/>
        <v>77.13147632311977</v>
      </c>
    </row>
    <row r="490" spans="1:7">
      <c r="A490" s="858"/>
      <c r="B490" s="885"/>
      <c r="C490" s="325">
        <v>4300</v>
      </c>
      <c r="D490" s="248" t="s">
        <v>216</v>
      </c>
      <c r="E490" s="277">
        <v>10694</v>
      </c>
      <c r="F490" s="278">
        <v>1790.52</v>
      </c>
      <c r="G490" s="224">
        <f t="shared" si="6"/>
        <v>16.743220497475221</v>
      </c>
    </row>
    <row r="491" spans="1:7">
      <c r="A491" s="859"/>
      <c r="B491" s="885"/>
      <c r="C491" s="325">
        <v>4440</v>
      </c>
      <c r="D491" s="221" t="s">
        <v>236</v>
      </c>
      <c r="E491" s="222">
        <v>3621</v>
      </c>
      <c r="F491" s="227">
        <v>2716</v>
      </c>
      <c r="G491" s="224">
        <f t="shared" si="6"/>
        <v>75.006904170118759</v>
      </c>
    </row>
    <row r="492" spans="1:7">
      <c r="A492" s="235">
        <v>851</v>
      </c>
      <c r="B492" s="210"/>
      <c r="C492" s="235"/>
      <c r="D492" s="252" t="s">
        <v>49</v>
      </c>
      <c r="E492" s="237">
        <f>E495+E504+E493</f>
        <v>2545500</v>
      </c>
      <c r="F492" s="238">
        <f>F495+F504+F493</f>
        <v>982282.7</v>
      </c>
      <c r="G492" s="214">
        <f t="shared" si="7"/>
        <v>38.588988410921232</v>
      </c>
    </row>
    <row r="493" spans="1:7">
      <c r="A493" s="343"/>
      <c r="B493" s="339">
        <v>85111</v>
      </c>
      <c r="C493" s="339"/>
      <c r="D493" s="340" t="s">
        <v>101</v>
      </c>
      <c r="E493" s="341">
        <v>590000</v>
      </c>
      <c r="F493" s="342">
        <f>F494</f>
        <v>11025.07</v>
      </c>
      <c r="G493" s="219">
        <f t="shared" si="6"/>
        <v>1.8686559322033898</v>
      </c>
    </row>
    <row r="494" spans="1:7">
      <c r="A494" s="343"/>
      <c r="B494" s="339"/>
      <c r="C494" s="344">
        <v>6050</v>
      </c>
      <c r="D494" s="221" t="s">
        <v>242</v>
      </c>
      <c r="E494" s="345">
        <v>590000</v>
      </c>
      <c r="F494" s="346">
        <v>11025.07</v>
      </c>
      <c r="G494" s="224">
        <f t="shared" si="6"/>
        <v>1.8686559322033898</v>
      </c>
    </row>
    <row r="495" spans="1:7">
      <c r="A495" s="858"/>
      <c r="B495" s="253">
        <v>85154</v>
      </c>
      <c r="C495" s="254"/>
      <c r="D495" s="255" t="s">
        <v>102</v>
      </c>
      <c r="E495" s="217">
        <f>E496+E501</f>
        <v>19500</v>
      </c>
      <c r="F495" s="229">
        <f>F496+F501</f>
        <v>5482.92</v>
      </c>
      <c r="G495" s="219">
        <f t="shared" si="7"/>
        <v>28.117538461538462</v>
      </c>
    </row>
    <row r="496" spans="1:7">
      <c r="A496" s="858"/>
      <c r="B496" s="878"/>
      <c r="C496" s="254"/>
      <c r="D496" s="247" t="s">
        <v>286</v>
      </c>
      <c r="E496" s="217">
        <f>SUM(E497:E500)</f>
        <v>10000</v>
      </c>
      <c r="F496" s="229">
        <f>SUM(F497:F500)</f>
        <v>0</v>
      </c>
      <c r="G496" s="219">
        <f t="shared" si="7"/>
        <v>0</v>
      </c>
    </row>
    <row r="497" spans="1:7">
      <c r="A497" s="858"/>
      <c r="B497" s="879"/>
      <c r="C497" s="220">
        <v>4110</v>
      </c>
      <c r="D497" s="248" t="s">
        <v>224</v>
      </c>
      <c r="E497" s="222">
        <v>1101</v>
      </c>
      <c r="F497" s="227">
        <v>0</v>
      </c>
      <c r="G497" s="224">
        <f t="shared" si="7"/>
        <v>0</v>
      </c>
    </row>
    <row r="498" spans="1:7">
      <c r="A498" s="858"/>
      <c r="B498" s="879"/>
      <c r="C498" s="316">
        <v>4120</v>
      </c>
      <c r="D498" s="248" t="s">
        <v>276</v>
      </c>
      <c r="E498" s="222">
        <v>172</v>
      </c>
      <c r="F498" s="227">
        <v>0</v>
      </c>
      <c r="G498" s="224">
        <f t="shared" si="7"/>
        <v>0</v>
      </c>
    </row>
    <row r="499" spans="1:7">
      <c r="A499" s="858"/>
      <c r="B499" s="879"/>
      <c r="C499" s="153">
        <v>4170</v>
      </c>
      <c r="D499" s="221" t="s">
        <v>226</v>
      </c>
      <c r="E499" s="222">
        <v>7000</v>
      </c>
      <c r="F499" s="227">
        <v>0</v>
      </c>
      <c r="G499" s="224">
        <f t="shared" si="7"/>
        <v>0</v>
      </c>
    </row>
    <row r="500" spans="1:7">
      <c r="A500" s="858"/>
      <c r="B500" s="879"/>
      <c r="C500" s="220">
        <v>4210</v>
      </c>
      <c r="D500" s="248" t="s">
        <v>227</v>
      </c>
      <c r="E500" s="222">
        <v>1727</v>
      </c>
      <c r="F500" s="227">
        <v>0</v>
      </c>
      <c r="G500" s="224">
        <f t="shared" si="7"/>
        <v>0</v>
      </c>
    </row>
    <row r="501" spans="1:7">
      <c r="A501" s="858"/>
      <c r="B501" s="879"/>
      <c r="C501" s="254"/>
      <c r="D501" s="247" t="s">
        <v>287</v>
      </c>
      <c r="E501" s="217">
        <f>E502+E503</f>
        <v>9500</v>
      </c>
      <c r="F501" s="229">
        <f>F502+F503</f>
        <v>5482.92</v>
      </c>
      <c r="G501" s="219">
        <f t="shared" si="7"/>
        <v>57.714947368421051</v>
      </c>
    </row>
    <row r="502" spans="1:7">
      <c r="A502" s="858"/>
      <c r="B502" s="879"/>
      <c r="C502" s="220">
        <v>4210</v>
      </c>
      <c r="D502" s="248" t="s">
        <v>227</v>
      </c>
      <c r="E502" s="222">
        <v>7400</v>
      </c>
      <c r="F502" s="227">
        <v>4413.99</v>
      </c>
      <c r="G502" s="224">
        <f t="shared" si="7"/>
        <v>59.648513513513514</v>
      </c>
    </row>
    <row r="503" spans="1:7">
      <c r="A503" s="858"/>
      <c r="B503" s="880"/>
      <c r="C503" s="195">
        <v>4300</v>
      </c>
      <c r="D503" s="248" t="s">
        <v>216</v>
      </c>
      <c r="E503" s="222">
        <v>2100</v>
      </c>
      <c r="F503" s="227">
        <v>1068.93</v>
      </c>
      <c r="G503" s="224">
        <f t="shared" si="7"/>
        <v>50.901428571428575</v>
      </c>
    </row>
    <row r="504" spans="1:7" ht="21.75">
      <c r="A504" s="858"/>
      <c r="B504" s="226">
        <v>85156</v>
      </c>
      <c r="C504" s="226"/>
      <c r="D504" s="256" t="s">
        <v>288</v>
      </c>
      <c r="E504" s="217">
        <f>E505+E506+E507</f>
        <v>1936000</v>
      </c>
      <c r="F504" s="229">
        <f>F506+F507+F505</f>
        <v>965774.71</v>
      </c>
      <c r="G504" s="219">
        <f t="shared" si="7"/>
        <v>49.885057334710744</v>
      </c>
    </row>
    <row r="505" spans="1:7">
      <c r="A505" s="858"/>
      <c r="B505" s="858"/>
      <c r="C505" s="195">
        <v>4130</v>
      </c>
      <c r="D505" s="248" t="s">
        <v>348</v>
      </c>
      <c r="E505" s="222">
        <v>10000</v>
      </c>
      <c r="F505" s="227">
        <v>3137.4</v>
      </c>
      <c r="G505" s="224">
        <f t="shared" si="7"/>
        <v>31.373999999999999</v>
      </c>
    </row>
    <row r="506" spans="1:7">
      <c r="A506" s="858"/>
      <c r="B506" s="858"/>
      <c r="C506" s="220">
        <v>4130</v>
      </c>
      <c r="D506" s="248" t="s">
        <v>289</v>
      </c>
      <c r="E506" s="222">
        <v>19000</v>
      </c>
      <c r="F506" s="227">
        <v>7711.2</v>
      </c>
      <c r="G506" s="224">
        <f t="shared" si="7"/>
        <v>40.585263157894737</v>
      </c>
    </row>
    <row r="507" spans="1:7">
      <c r="A507" s="858"/>
      <c r="B507" s="859"/>
      <c r="C507" s="220">
        <v>4130</v>
      </c>
      <c r="D507" s="248" t="s">
        <v>290</v>
      </c>
      <c r="E507" s="222">
        <v>1907000</v>
      </c>
      <c r="F507" s="227">
        <v>954926.11</v>
      </c>
      <c r="G507" s="224">
        <f t="shared" si="7"/>
        <v>50.074782905086522</v>
      </c>
    </row>
    <row r="508" spans="1:7">
      <c r="A508" s="210">
        <v>852</v>
      </c>
      <c r="B508" s="210"/>
      <c r="C508" s="210"/>
      <c r="D508" s="251" t="s">
        <v>50</v>
      </c>
      <c r="E508" s="212">
        <f>E509+E556+E558+E601+E609+E633</f>
        <v>8320768</v>
      </c>
      <c r="F508" s="228">
        <f>F509+F556+F558+F601+F609+F633</f>
        <v>3761286.8500000006</v>
      </c>
      <c r="G508" s="214">
        <f t="shared" si="7"/>
        <v>45.203601999238536</v>
      </c>
    </row>
    <row r="509" spans="1:7">
      <c r="A509" s="754"/>
      <c r="B509" s="226">
        <v>85201</v>
      </c>
      <c r="C509" s="226"/>
      <c r="D509" s="249" t="s">
        <v>104</v>
      </c>
      <c r="E509" s="217">
        <f>E510+E534+E549+E551</f>
        <v>3573628</v>
      </c>
      <c r="F509" s="229">
        <f>F510+F534+F549+F551</f>
        <v>1462935.2899999998</v>
      </c>
      <c r="G509" s="219">
        <f t="shared" si="7"/>
        <v>40.936977491781455</v>
      </c>
    </row>
    <row r="510" spans="1:7">
      <c r="A510" s="755"/>
      <c r="B510" s="857"/>
      <c r="C510" s="226"/>
      <c r="D510" s="247" t="s">
        <v>291</v>
      </c>
      <c r="E510" s="244">
        <f>SUM(E511:E533)</f>
        <v>1589196</v>
      </c>
      <c r="F510" s="245">
        <f>SUM(F511:F533)</f>
        <v>823928.89999999991</v>
      </c>
      <c r="G510" s="219">
        <f t="shared" si="7"/>
        <v>51.845643960845599</v>
      </c>
    </row>
    <row r="511" spans="1:7">
      <c r="A511" s="755"/>
      <c r="B511" s="858"/>
      <c r="C511" s="347">
        <v>3020</v>
      </c>
      <c r="D511" s="221" t="s">
        <v>221</v>
      </c>
      <c r="E511" s="222">
        <v>2034</v>
      </c>
      <c r="F511" s="350">
        <v>1964</v>
      </c>
      <c r="G511" s="224">
        <f t="shared" si="7"/>
        <v>96.558505408062928</v>
      </c>
    </row>
    <row r="512" spans="1:7">
      <c r="A512" s="755"/>
      <c r="B512" s="858"/>
      <c r="C512" s="195">
        <v>3110</v>
      </c>
      <c r="D512" s="248" t="s">
        <v>292</v>
      </c>
      <c r="E512" s="222">
        <v>13200</v>
      </c>
      <c r="F512" s="227">
        <v>5835</v>
      </c>
      <c r="G512" s="224">
        <f t="shared" si="7"/>
        <v>44.204545454545453</v>
      </c>
    </row>
    <row r="513" spans="1:7">
      <c r="A513" s="755"/>
      <c r="B513" s="858"/>
      <c r="C513" s="220">
        <v>4010</v>
      </c>
      <c r="D513" s="248" t="s">
        <v>222</v>
      </c>
      <c r="E513" s="222">
        <v>891710</v>
      </c>
      <c r="F513" s="227">
        <v>450373.65</v>
      </c>
      <c r="G513" s="224">
        <f t="shared" si="7"/>
        <v>50.506739859371322</v>
      </c>
    </row>
    <row r="514" spans="1:7">
      <c r="A514" s="755"/>
      <c r="B514" s="858"/>
      <c r="C514" s="220">
        <v>4040</v>
      </c>
      <c r="D514" s="248" t="s">
        <v>223</v>
      </c>
      <c r="E514" s="222">
        <v>60052</v>
      </c>
      <c r="F514" s="227">
        <v>60051.48</v>
      </c>
      <c r="G514" s="224">
        <f t="shared" si="7"/>
        <v>99.999134083794047</v>
      </c>
    </row>
    <row r="515" spans="1:7">
      <c r="A515" s="755"/>
      <c r="B515" s="858"/>
      <c r="C515" s="220">
        <v>4110</v>
      </c>
      <c r="D515" s="248" t="s">
        <v>224</v>
      </c>
      <c r="E515" s="222">
        <v>148920</v>
      </c>
      <c r="F515" s="227">
        <v>77781.83</v>
      </c>
      <c r="G515" s="224">
        <f t="shared" si="7"/>
        <v>52.230613752350258</v>
      </c>
    </row>
    <row r="516" spans="1:7">
      <c r="A516" s="755"/>
      <c r="B516" s="858"/>
      <c r="C516" s="220">
        <v>4120</v>
      </c>
      <c r="D516" s="248" t="s">
        <v>276</v>
      </c>
      <c r="E516" s="222">
        <v>23480</v>
      </c>
      <c r="F516" s="227">
        <v>11649.3</v>
      </c>
      <c r="G516" s="224">
        <f t="shared" si="7"/>
        <v>49.613713798977855</v>
      </c>
    </row>
    <row r="517" spans="1:7">
      <c r="A517" s="755"/>
      <c r="B517" s="858"/>
      <c r="C517" s="220">
        <v>4170</v>
      </c>
      <c r="D517" s="221" t="s">
        <v>226</v>
      </c>
      <c r="E517" s="222">
        <v>19200</v>
      </c>
      <c r="F517" s="227">
        <v>12085.55</v>
      </c>
      <c r="G517" s="224">
        <f t="shared" si="7"/>
        <v>62.94557291666667</v>
      </c>
    </row>
    <row r="518" spans="1:7">
      <c r="A518" s="755"/>
      <c r="B518" s="858"/>
      <c r="C518" s="220">
        <v>4210</v>
      </c>
      <c r="D518" s="248" t="s">
        <v>227</v>
      </c>
      <c r="E518" s="222">
        <v>60720</v>
      </c>
      <c r="F518" s="227">
        <v>33954.65</v>
      </c>
      <c r="G518" s="224">
        <f t="shared" si="7"/>
        <v>55.920042819499344</v>
      </c>
    </row>
    <row r="519" spans="1:7">
      <c r="A519" s="755"/>
      <c r="B519" s="858"/>
      <c r="C519" s="220">
        <v>4220</v>
      </c>
      <c r="D519" s="248" t="s">
        <v>293</v>
      </c>
      <c r="E519" s="222">
        <v>137085</v>
      </c>
      <c r="F519" s="227">
        <v>54997.5</v>
      </c>
      <c r="G519" s="224">
        <f t="shared" si="7"/>
        <v>40.119269066637486</v>
      </c>
    </row>
    <row r="520" spans="1:7">
      <c r="A520" s="755"/>
      <c r="B520" s="858"/>
      <c r="C520" s="220">
        <v>4240</v>
      </c>
      <c r="D520" s="248" t="s">
        <v>270</v>
      </c>
      <c r="E520" s="222">
        <v>8000</v>
      </c>
      <c r="F520" s="227">
        <v>821.34</v>
      </c>
      <c r="G520" s="224">
        <f t="shared" si="7"/>
        <v>10.26675</v>
      </c>
    </row>
    <row r="521" spans="1:7">
      <c r="A521" s="755"/>
      <c r="B521" s="858"/>
      <c r="C521" s="220">
        <v>4260</v>
      </c>
      <c r="D521" s="248" t="s">
        <v>228</v>
      </c>
      <c r="E521" s="222">
        <v>70000</v>
      </c>
      <c r="F521" s="227">
        <v>35712.15</v>
      </c>
      <c r="G521" s="224">
        <f t="shared" si="7"/>
        <v>51.017357142857144</v>
      </c>
    </row>
    <row r="522" spans="1:7">
      <c r="A522" s="755"/>
      <c r="B522" s="858"/>
      <c r="C522" s="220">
        <v>4270</v>
      </c>
      <c r="D522" s="248" t="s">
        <v>229</v>
      </c>
      <c r="E522" s="222">
        <v>3000</v>
      </c>
      <c r="F522" s="227">
        <v>107.36</v>
      </c>
      <c r="G522" s="224">
        <f t="shared" si="7"/>
        <v>3.5786666666666669</v>
      </c>
    </row>
    <row r="523" spans="1:7">
      <c r="A523" s="755"/>
      <c r="B523" s="858"/>
      <c r="C523" s="220">
        <v>4280</v>
      </c>
      <c r="D523" s="221" t="s">
        <v>230</v>
      </c>
      <c r="E523" s="222">
        <v>2000</v>
      </c>
      <c r="F523" s="227">
        <v>1004.5</v>
      </c>
      <c r="G523" s="224">
        <f t="shared" si="7"/>
        <v>50.225000000000001</v>
      </c>
    </row>
    <row r="524" spans="1:7">
      <c r="A524" s="755"/>
      <c r="B524" s="858"/>
      <c r="C524" s="220">
        <v>4300</v>
      </c>
      <c r="D524" s="248" t="s">
        <v>216</v>
      </c>
      <c r="E524" s="222">
        <v>60164</v>
      </c>
      <c r="F524" s="227">
        <v>25896.09</v>
      </c>
      <c r="G524" s="224">
        <f t="shared" si="7"/>
        <v>43.042500498637061</v>
      </c>
    </row>
    <row r="525" spans="1:7">
      <c r="A525" s="755"/>
      <c r="B525" s="858"/>
      <c r="C525" s="220">
        <v>4350</v>
      </c>
      <c r="D525" s="221" t="s">
        <v>231</v>
      </c>
      <c r="E525" s="222">
        <v>672</v>
      </c>
      <c r="F525" s="227">
        <v>336</v>
      </c>
      <c r="G525" s="224">
        <f t="shared" si="7"/>
        <v>50</v>
      </c>
    </row>
    <row r="526" spans="1:7">
      <c r="A526" s="755"/>
      <c r="B526" s="858"/>
      <c r="C526" s="220">
        <v>4360</v>
      </c>
      <c r="D526" s="221" t="s">
        <v>232</v>
      </c>
      <c r="E526" s="222">
        <v>3200</v>
      </c>
      <c r="F526" s="227">
        <v>150</v>
      </c>
      <c r="G526" s="224">
        <f t="shared" si="7"/>
        <v>4.6875</v>
      </c>
    </row>
    <row r="527" spans="1:7">
      <c r="A527" s="755"/>
      <c r="B527" s="858"/>
      <c r="C527" s="220">
        <v>4370</v>
      </c>
      <c r="D527" s="221" t="s">
        <v>233</v>
      </c>
      <c r="E527" s="222">
        <v>12000</v>
      </c>
      <c r="F527" s="227">
        <v>3044.07</v>
      </c>
      <c r="G527" s="224">
        <f t="shared" si="7"/>
        <v>25.367249999999999</v>
      </c>
    </row>
    <row r="528" spans="1:7">
      <c r="A528" s="755"/>
      <c r="B528" s="858"/>
      <c r="C528" s="220">
        <v>4410</v>
      </c>
      <c r="D528" s="248" t="s">
        <v>234</v>
      </c>
      <c r="E528" s="222">
        <v>8128</v>
      </c>
      <c r="F528" s="227">
        <v>2710.6</v>
      </c>
      <c r="G528" s="224">
        <f t="shared" si="7"/>
        <v>33.348917322834644</v>
      </c>
    </row>
    <row r="529" spans="1:7">
      <c r="A529" s="755"/>
      <c r="B529" s="858"/>
      <c r="C529" s="220">
        <v>4430</v>
      </c>
      <c r="D529" s="248" t="s">
        <v>235</v>
      </c>
      <c r="E529" s="222">
        <v>1500</v>
      </c>
      <c r="F529" s="227">
        <v>31.5</v>
      </c>
      <c r="G529" s="224">
        <f t="shared" si="7"/>
        <v>2.1</v>
      </c>
    </row>
    <row r="530" spans="1:7">
      <c r="A530" s="755"/>
      <c r="B530" s="858"/>
      <c r="C530" s="220">
        <v>4440</v>
      </c>
      <c r="D530" s="248" t="s">
        <v>236</v>
      </c>
      <c r="E530" s="222">
        <v>57165</v>
      </c>
      <c r="F530" s="227">
        <v>42874</v>
      </c>
      <c r="G530" s="224">
        <f t="shared" si="7"/>
        <v>75.000437330534425</v>
      </c>
    </row>
    <row r="531" spans="1:7">
      <c r="A531" s="755"/>
      <c r="B531" s="858"/>
      <c r="C531" s="220">
        <v>4700</v>
      </c>
      <c r="D531" s="221" t="s">
        <v>239</v>
      </c>
      <c r="E531" s="222">
        <v>2000</v>
      </c>
      <c r="F531" s="227">
        <v>0</v>
      </c>
      <c r="G531" s="224">
        <f t="shared" si="7"/>
        <v>0</v>
      </c>
    </row>
    <row r="532" spans="1:7">
      <c r="A532" s="755"/>
      <c r="B532" s="858"/>
      <c r="C532" s="220">
        <v>4740</v>
      </c>
      <c r="D532" s="221" t="s">
        <v>240</v>
      </c>
      <c r="E532" s="222">
        <v>1366</v>
      </c>
      <c r="F532" s="227">
        <v>0</v>
      </c>
      <c r="G532" s="224">
        <f t="shared" si="7"/>
        <v>0</v>
      </c>
    </row>
    <row r="533" spans="1:7">
      <c r="A533" s="755"/>
      <c r="B533" s="858"/>
      <c r="C533" s="220">
        <v>4750</v>
      </c>
      <c r="D533" s="221" t="s">
        <v>241</v>
      </c>
      <c r="E533" s="222">
        <v>3600</v>
      </c>
      <c r="F533" s="227">
        <v>2548.33</v>
      </c>
      <c r="G533" s="224">
        <f t="shared" si="7"/>
        <v>70.786944444444444</v>
      </c>
    </row>
    <row r="534" spans="1:7">
      <c r="A534" s="755"/>
      <c r="B534" s="858"/>
      <c r="C534" s="242"/>
      <c r="D534" s="247" t="s">
        <v>294</v>
      </c>
      <c r="E534" s="244">
        <f>+SUM(E535:E548)</f>
        <v>137234</v>
      </c>
      <c r="F534" s="245">
        <f>+SUM(F535:F548)</f>
        <v>67227.48000000001</v>
      </c>
      <c r="G534" s="219">
        <f t="shared" si="7"/>
        <v>48.987481236428295</v>
      </c>
    </row>
    <row r="535" spans="1:7">
      <c r="A535" s="755"/>
      <c r="B535" s="858"/>
      <c r="C535" s="195">
        <v>3110</v>
      </c>
      <c r="D535" s="248" t="s">
        <v>292</v>
      </c>
      <c r="E535" s="222">
        <v>2400</v>
      </c>
      <c r="F535" s="227">
        <v>1200</v>
      </c>
      <c r="G535" s="224">
        <f t="shared" si="7"/>
        <v>50</v>
      </c>
    </row>
    <row r="536" spans="1:7">
      <c r="A536" s="755"/>
      <c r="B536" s="858"/>
      <c r="C536" s="220">
        <v>4010</v>
      </c>
      <c r="D536" s="248" t="s">
        <v>222</v>
      </c>
      <c r="E536" s="222">
        <v>35297</v>
      </c>
      <c r="F536" s="227">
        <v>14863.84</v>
      </c>
      <c r="G536" s="224">
        <f t="shared" si="7"/>
        <v>42.110774286766578</v>
      </c>
    </row>
    <row r="537" spans="1:7">
      <c r="A537" s="755"/>
      <c r="B537" s="858"/>
      <c r="C537" s="220">
        <v>4040</v>
      </c>
      <c r="D537" s="248" t="s">
        <v>223</v>
      </c>
      <c r="E537" s="222">
        <v>2308</v>
      </c>
      <c r="F537" s="227">
        <v>2307.77</v>
      </c>
      <c r="G537" s="224">
        <f t="shared" si="7"/>
        <v>99.990034662045062</v>
      </c>
    </row>
    <row r="538" spans="1:7">
      <c r="A538" s="755"/>
      <c r="B538" s="858"/>
      <c r="C538" s="220">
        <v>4110</v>
      </c>
      <c r="D538" s="248" t="s">
        <v>224</v>
      </c>
      <c r="E538" s="222">
        <v>5668</v>
      </c>
      <c r="F538" s="227">
        <v>2833.5</v>
      </c>
      <c r="G538" s="224">
        <f t="shared" si="7"/>
        <v>49.991178546224418</v>
      </c>
    </row>
    <row r="539" spans="1:7">
      <c r="A539" s="755"/>
      <c r="B539" s="858"/>
      <c r="C539" s="220">
        <v>4120</v>
      </c>
      <c r="D539" s="248" t="s">
        <v>276</v>
      </c>
      <c r="E539" s="222">
        <v>865</v>
      </c>
      <c r="F539" s="227">
        <v>432.27</v>
      </c>
      <c r="G539" s="224">
        <f t="shared" si="7"/>
        <v>49.973410404624275</v>
      </c>
    </row>
    <row r="540" spans="1:7">
      <c r="A540" s="755"/>
      <c r="B540" s="858"/>
      <c r="C540" s="316">
        <v>4170</v>
      </c>
      <c r="D540" s="221" t="s">
        <v>226</v>
      </c>
      <c r="E540" s="222">
        <v>2332</v>
      </c>
      <c r="F540" s="227">
        <v>2332</v>
      </c>
      <c r="G540" s="224">
        <f t="shared" si="7"/>
        <v>100</v>
      </c>
    </row>
    <row r="541" spans="1:7">
      <c r="A541" s="755"/>
      <c r="B541" s="858"/>
      <c r="C541" s="220">
        <v>4210</v>
      </c>
      <c r="D541" s="248" t="s">
        <v>227</v>
      </c>
      <c r="E541" s="222">
        <v>18240</v>
      </c>
      <c r="F541" s="227">
        <v>7440</v>
      </c>
      <c r="G541" s="224">
        <f t="shared" si="7"/>
        <v>40.789473684210527</v>
      </c>
    </row>
    <row r="542" spans="1:7">
      <c r="A542" s="755"/>
      <c r="B542" s="858"/>
      <c r="C542" s="220">
        <v>4220</v>
      </c>
      <c r="D542" s="248" t="s">
        <v>293</v>
      </c>
      <c r="E542" s="222">
        <v>35040</v>
      </c>
      <c r="F542" s="227">
        <v>17472</v>
      </c>
      <c r="G542" s="224">
        <f t="shared" ref="G542:G616" si="8">F542*100/E542</f>
        <v>49.863013698630134</v>
      </c>
    </row>
    <row r="543" spans="1:7">
      <c r="A543" s="755"/>
      <c r="B543" s="858"/>
      <c r="C543" s="220">
        <v>4240</v>
      </c>
      <c r="D543" s="248" t="s">
        <v>270</v>
      </c>
      <c r="E543" s="222">
        <v>5088</v>
      </c>
      <c r="F543" s="227">
        <v>2208</v>
      </c>
      <c r="G543" s="224">
        <f t="shared" si="8"/>
        <v>43.39622641509434</v>
      </c>
    </row>
    <row r="544" spans="1:7">
      <c r="A544" s="755"/>
      <c r="B544" s="858"/>
      <c r="C544" s="316">
        <v>4280</v>
      </c>
      <c r="D544" s="221" t="s">
        <v>230</v>
      </c>
      <c r="E544" s="222">
        <v>2500</v>
      </c>
      <c r="F544" s="227">
        <v>200</v>
      </c>
      <c r="G544" s="224">
        <f t="shared" si="8"/>
        <v>8</v>
      </c>
    </row>
    <row r="545" spans="1:7">
      <c r="A545" s="755"/>
      <c r="B545" s="858"/>
      <c r="C545" s="220">
        <v>4300</v>
      </c>
      <c r="D545" s="248" t="s">
        <v>216</v>
      </c>
      <c r="E545" s="222">
        <v>21452</v>
      </c>
      <c r="F545" s="227">
        <v>13184</v>
      </c>
      <c r="G545" s="224">
        <f t="shared" si="8"/>
        <v>61.458139101249301</v>
      </c>
    </row>
    <row r="546" spans="1:7">
      <c r="A546" s="755"/>
      <c r="B546" s="858"/>
      <c r="C546" s="316">
        <v>4370</v>
      </c>
      <c r="D546" s="221" t="s">
        <v>233</v>
      </c>
      <c r="E546" s="222">
        <v>3300</v>
      </c>
      <c r="F546" s="227">
        <v>1650</v>
      </c>
      <c r="G546" s="224">
        <f t="shared" si="8"/>
        <v>50</v>
      </c>
    </row>
    <row r="547" spans="1:7">
      <c r="A547" s="755"/>
      <c r="B547" s="858"/>
      <c r="C547" s="220">
        <v>4410</v>
      </c>
      <c r="D547" s="248" t="s">
        <v>234</v>
      </c>
      <c r="E547" s="222">
        <v>1837</v>
      </c>
      <c r="F547" s="227">
        <v>424.1</v>
      </c>
      <c r="G547" s="224">
        <f t="shared" si="8"/>
        <v>23.086554164398475</v>
      </c>
    </row>
    <row r="548" spans="1:7">
      <c r="A548" s="755"/>
      <c r="B548" s="858"/>
      <c r="C548" s="220">
        <v>4440</v>
      </c>
      <c r="D548" s="248" t="s">
        <v>236</v>
      </c>
      <c r="E548" s="222">
        <v>907</v>
      </c>
      <c r="F548" s="227">
        <v>680</v>
      </c>
      <c r="G548" s="224">
        <f t="shared" si="8"/>
        <v>74.972436604189639</v>
      </c>
    </row>
    <row r="549" spans="1:7">
      <c r="A549" s="755"/>
      <c r="B549" s="858"/>
      <c r="C549" s="220"/>
      <c r="D549" s="247" t="s">
        <v>295</v>
      </c>
      <c r="E549" s="244">
        <f>E550</f>
        <v>146015</v>
      </c>
      <c r="F549" s="245">
        <f>F550</f>
        <v>47549</v>
      </c>
      <c r="G549" s="353">
        <f t="shared" si="8"/>
        <v>32.564462555216927</v>
      </c>
    </row>
    <row r="550" spans="1:7">
      <c r="A550" s="755"/>
      <c r="B550" s="858"/>
      <c r="C550" s="220">
        <v>3110</v>
      </c>
      <c r="D550" s="248" t="s">
        <v>292</v>
      </c>
      <c r="E550" s="222">
        <v>146015</v>
      </c>
      <c r="F550" s="227">
        <v>47549</v>
      </c>
      <c r="G550" s="224">
        <f t="shared" si="8"/>
        <v>32.564462555216927</v>
      </c>
    </row>
    <row r="551" spans="1:7">
      <c r="A551" s="755"/>
      <c r="B551" s="858"/>
      <c r="C551" s="215"/>
      <c r="D551" s="247" t="s">
        <v>307</v>
      </c>
      <c r="E551" s="244">
        <f>E552+E553+E554+E555</f>
        <v>1701183</v>
      </c>
      <c r="F551" s="245">
        <f>F552+F553+F554+F555</f>
        <v>524229.91</v>
      </c>
      <c r="G551" s="353">
        <f t="shared" si="8"/>
        <v>30.81560949057215</v>
      </c>
    </row>
    <row r="552" spans="1:7" ht="23.25" customHeight="1">
      <c r="A552" s="755"/>
      <c r="B552" s="858"/>
      <c r="C552" s="220">
        <v>2320</v>
      </c>
      <c r="D552" s="257" t="s">
        <v>296</v>
      </c>
      <c r="E552" s="222">
        <v>84581</v>
      </c>
      <c r="F552" s="227">
        <v>35014.269999999997</v>
      </c>
      <c r="G552" s="224">
        <f t="shared" si="8"/>
        <v>41.397323275913024</v>
      </c>
    </row>
    <row r="553" spans="1:7" ht="33.75">
      <c r="A553" s="755"/>
      <c r="B553" s="858"/>
      <c r="C553" s="258">
        <v>2820</v>
      </c>
      <c r="D553" s="259" t="s">
        <v>297</v>
      </c>
      <c r="E553" s="260">
        <v>1608000</v>
      </c>
      <c r="F553" s="261">
        <v>489185.73</v>
      </c>
      <c r="G553" s="262">
        <f t="shared" si="8"/>
        <v>30.421998134328359</v>
      </c>
    </row>
    <row r="554" spans="1:7">
      <c r="A554" s="755"/>
      <c r="B554" s="858"/>
      <c r="C554" s="317">
        <v>4010</v>
      </c>
      <c r="D554" s="248" t="s">
        <v>222</v>
      </c>
      <c r="E554" s="260">
        <v>8552</v>
      </c>
      <c r="F554" s="261">
        <v>0</v>
      </c>
      <c r="G554" s="262">
        <f t="shared" si="8"/>
        <v>0</v>
      </c>
    </row>
    <row r="555" spans="1:7">
      <c r="A555" s="755"/>
      <c r="B555" s="859"/>
      <c r="C555" s="317">
        <v>4580</v>
      </c>
      <c r="D555" s="259" t="s">
        <v>74</v>
      </c>
      <c r="E555" s="260">
        <v>50</v>
      </c>
      <c r="F555" s="261">
        <v>29.91</v>
      </c>
      <c r="G555" s="262">
        <f t="shared" si="8"/>
        <v>59.82</v>
      </c>
    </row>
    <row r="556" spans="1:7">
      <c r="A556" s="755"/>
      <c r="B556" s="226">
        <v>85202</v>
      </c>
      <c r="C556" s="226"/>
      <c r="D556" s="249" t="s">
        <v>298</v>
      </c>
      <c r="E556" s="217">
        <f>E557</f>
        <v>1970000</v>
      </c>
      <c r="F556" s="229">
        <f>F557</f>
        <v>925015</v>
      </c>
      <c r="G556" s="219">
        <f t="shared" si="8"/>
        <v>46.955076142131979</v>
      </c>
    </row>
    <row r="557" spans="1:7" ht="33.75">
      <c r="A557" s="755"/>
      <c r="B557" s="195"/>
      <c r="C557" s="195">
        <v>2820</v>
      </c>
      <c r="D557" s="259" t="s">
        <v>297</v>
      </c>
      <c r="E557" s="222">
        <v>1970000</v>
      </c>
      <c r="F557" s="227">
        <v>925015</v>
      </c>
      <c r="G557" s="224">
        <f t="shared" si="8"/>
        <v>46.955076142131979</v>
      </c>
    </row>
    <row r="558" spans="1:7">
      <c r="A558" s="755"/>
      <c r="B558" s="226">
        <v>85203</v>
      </c>
      <c r="C558" s="226"/>
      <c r="D558" s="256" t="s">
        <v>106</v>
      </c>
      <c r="E558" s="217">
        <f>E559+E581</f>
        <v>664150</v>
      </c>
      <c r="F558" s="229">
        <f>F559+F581</f>
        <v>300631.53000000003</v>
      </c>
      <c r="G558" s="219">
        <f t="shared" si="8"/>
        <v>45.265607167055641</v>
      </c>
    </row>
    <row r="559" spans="1:7">
      <c r="A559" s="755"/>
      <c r="B559" s="857"/>
      <c r="C559" s="226"/>
      <c r="D559" s="354" t="s">
        <v>299</v>
      </c>
      <c r="E559" s="244">
        <f>SUM(E560:E580)</f>
        <v>352150</v>
      </c>
      <c r="F559" s="245">
        <f>SUM(F560:F580)</f>
        <v>171530.05000000002</v>
      </c>
      <c r="G559" s="353">
        <f t="shared" si="8"/>
        <v>48.709371006673294</v>
      </c>
    </row>
    <row r="560" spans="1:7">
      <c r="A560" s="755"/>
      <c r="B560" s="858"/>
      <c r="C560" s="220">
        <v>4010</v>
      </c>
      <c r="D560" s="248" t="s">
        <v>222</v>
      </c>
      <c r="E560" s="222">
        <v>207083</v>
      </c>
      <c r="F560" s="227">
        <v>96134.19</v>
      </c>
      <c r="G560" s="224">
        <f t="shared" si="8"/>
        <v>46.423023618549081</v>
      </c>
    </row>
    <row r="561" spans="1:7">
      <c r="A561" s="755"/>
      <c r="B561" s="858"/>
      <c r="C561" s="220">
        <v>4040</v>
      </c>
      <c r="D561" s="248" t="s">
        <v>223</v>
      </c>
      <c r="E561" s="222">
        <v>13580</v>
      </c>
      <c r="F561" s="227">
        <v>13579.98</v>
      </c>
      <c r="G561" s="224">
        <f t="shared" si="8"/>
        <v>99.999852724594987</v>
      </c>
    </row>
    <row r="562" spans="1:7">
      <c r="A562" s="755"/>
      <c r="B562" s="858"/>
      <c r="C562" s="220">
        <v>4110</v>
      </c>
      <c r="D562" s="248" t="s">
        <v>224</v>
      </c>
      <c r="E562" s="222">
        <v>36406</v>
      </c>
      <c r="F562" s="227">
        <v>17187.5</v>
      </c>
      <c r="G562" s="224">
        <f t="shared" si="8"/>
        <v>47.210624622315002</v>
      </c>
    </row>
    <row r="563" spans="1:7">
      <c r="A563" s="755"/>
      <c r="B563" s="858"/>
      <c r="C563" s="220">
        <v>4120</v>
      </c>
      <c r="D563" s="248" t="s">
        <v>276</v>
      </c>
      <c r="E563" s="222">
        <v>5474</v>
      </c>
      <c r="F563" s="227">
        <v>2622.02</v>
      </c>
      <c r="G563" s="224">
        <f t="shared" si="8"/>
        <v>47.899525027402262</v>
      </c>
    </row>
    <row r="564" spans="1:7">
      <c r="A564" s="755"/>
      <c r="B564" s="858"/>
      <c r="C564" s="220">
        <v>4170</v>
      </c>
      <c r="D564" s="221" t="s">
        <v>226</v>
      </c>
      <c r="E564" s="222">
        <v>7680</v>
      </c>
      <c r="F564" s="227">
        <v>4000</v>
      </c>
      <c r="G564" s="224">
        <f t="shared" si="8"/>
        <v>52.083333333333336</v>
      </c>
    </row>
    <row r="565" spans="1:7">
      <c r="A565" s="755"/>
      <c r="B565" s="858"/>
      <c r="C565" s="220">
        <v>4210</v>
      </c>
      <c r="D565" s="248" t="s">
        <v>227</v>
      </c>
      <c r="E565" s="222">
        <v>11855</v>
      </c>
      <c r="F565" s="227">
        <v>3701.03</v>
      </c>
      <c r="G565" s="224">
        <f t="shared" si="8"/>
        <v>31.219148038802192</v>
      </c>
    </row>
    <row r="566" spans="1:7">
      <c r="A566" s="755"/>
      <c r="B566" s="858"/>
      <c r="C566" s="220">
        <v>4220</v>
      </c>
      <c r="D566" s="248" t="s">
        <v>293</v>
      </c>
      <c r="E566" s="222">
        <v>14400</v>
      </c>
      <c r="F566" s="227">
        <v>5853.99</v>
      </c>
      <c r="G566" s="224">
        <f t="shared" si="8"/>
        <v>40.652708333333337</v>
      </c>
    </row>
    <row r="567" spans="1:7">
      <c r="A567" s="755"/>
      <c r="B567" s="858"/>
      <c r="C567" s="220">
        <v>4260</v>
      </c>
      <c r="D567" s="248" t="s">
        <v>228</v>
      </c>
      <c r="E567" s="222">
        <v>14000</v>
      </c>
      <c r="F567" s="227">
        <v>7659.55</v>
      </c>
      <c r="G567" s="224">
        <f t="shared" si="8"/>
        <v>54.711071428571429</v>
      </c>
    </row>
    <row r="568" spans="1:7">
      <c r="A568" s="755"/>
      <c r="B568" s="858"/>
      <c r="C568" s="220">
        <v>4270</v>
      </c>
      <c r="D568" s="248" t="s">
        <v>229</v>
      </c>
      <c r="E568" s="222">
        <v>4043</v>
      </c>
      <c r="F568" s="227">
        <v>1476</v>
      </c>
      <c r="G568" s="224">
        <f t="shared" si="8"/>
        <v>36.507543903042297</v>
      </c>
    </row>
    <row r="569" spans="1:7">
      <c r="A569" s="755"/>
      <c r="B569" s="858"/>
      <c r="C569" s="220">
        <v>4280</v>
      </c>
      <c r="D569" s="221" t="s">
        <v>230</v>
      </c>
      <c r="E569" s="222">
        <v>120</v>
      </c>
      <c r="F569" s="227">
        <v>0</v>
      </c>
      <c r="G569" s="224">
        <f t="shared" si="8"/>
        <v>0</v>
      </c>
    </row>
    <row r="570" spans="1:7">
      <c r="A570" s="755"/>
      <c r="B570" s="858"/>
      <c r="C570" s="220">
        <v>4300</v>
      </c>
      <c r="D570" s="248" t="s">
        <v>216</v>
      </c>
      <c r="E570" s="222">
        <v>11369</v>
      </c>
      <c r="F570" s="227">
        <v>6381.01</v>
      </c>
      <c r="G570" s="224">
        <f t="shared" si="8"/>
        <v>56.12639634092708</v>
      </c>
    </row>
    <row r="571" spans="1:7">
      <c r="A571" s="755"/>
      <c r="B571" s="858"/>
      <c r="C571" s="316">
        <v>4350</v>
      </c>
      <c r="D571" s="221" t="s">
        <v>231</v>
      </c>
      <c r="E571" s="222">
        <v>1600</v>
      </c>
      <c r="F571" s="227">
        <v>1229.76</v>
      </c>
      <c r="G571" s="224">
        <f t="shared" si="8"/>
        <v>76.86</v>
      </c>
    </row>
    <row r="572" spans="1:7">
      <c r="A572" s="755"/>
      <c r="B572" s="858"/>
      <c r="C572" s="220">
        <v>4360</v>
      </c>
      <c r="D572" s="221" t="s">
        <v>232</v>
      </c>
      <c r="E572" s="222">
        <v>2400</v>
      </c>
      <c r="F572" s="227">
        <v>1184.45</v>
      </c>
      <c r="G572" s="224">
        <f t="shared" si="8"/>
        <v>49.352083333333333</v>
      </c>
    </row>
    <row r="573" spans="1:7">
      <c r="A573" s="755"/>
      <c r="B573" s="858"/>
      <c r="C573" s="220">
        <v>4370</v>
      </c>
      <c r="D573" s="221" t="s">
        <v>233</v>
      </c>
      <c r="E573" s="222">
        <v>4800</v>
      </c>
      <c r="F573" s="227">
        <v>1658.26</v>
      </c>
      <c r="G573" s="224">
        <f t="shared" si="8"/>
        <v>34.547083333333333</v>
      </c>
    </row>
    <row r="574" spans="1:7">
      <c r="A574" s="755"/>
      <c r="B574" s="858"/>
      <c r="C574" s="220">
        <v>4410</v>
      </c>
      <c r="D574" s="248" t="s">
        <v>234</v>
      </c>
      <c r="E574" s="222">
        <v>1500</v>
      </c>
      <c r="F574" s="227">
        <v>492.9</v>
      </c>
      <c r="G574" s="224">
        <f t="shared" si="8"/>
        <v>32.86</v>
      </c>
    </row>
    <row r="575" spans="1:7">
      <c r="A575" s="755"/>
      <c r="B575" s="858"/>
      <c r="C575" s="220">
        <v>4430</v>
      </c>
      <c r="D575" s="248" t="s">
        <v>235</v>
      </c>
      <c r="E575" s="222">
        <v>500</v>
      </c>
      <c r="F575" s="227">
        <v>282.85000000000002</v>
      </c>
      <c r="G575" s="224">
        <f t="shared" si="8"/>
        <v>56.570000000000007</v>
      </c>
    </row>
    <row r="576" spans="1:7">
      <c r="A576" s="755"/>
      <c r="B576" s="858"/>
      <c r="C576" s="220">
        <v>4440</v>
      </c>
      <c r="D576" s="248" t="s">
        <v>236</v>
      </c>
      <c r="E576" s="222">
        <v>7706</v>
      </c>
      <c r="F576" s="227">
        <v>5800</v>
      </c>
      <c r="G576" s="224">
        <f t="shared" si="8"/>
        <v>75.266026472878281</v>
      </c>
    </row>
    <row r="577" spans="1:7">
      <c r="A577" s="755"/>
      <c r="B577" s="858"/>
      <c r="C577" s="316">
        <v>4480</v>
      </c>
      <c r="D577" s="248" t="s">
        <v>237</v>
      </c>
      <c r="E577" s="222">
        <v>3000</v>
      </c>
      <c r="F577" s="227">
        <v>1653</v>
      </c>
      <c r="G577" s="224">
        <f t="shared" si="8"/>
        <v>55.1</v>
      </c>
    </row>
    <row r="578" spans="1:7">
      <c r="A578" s="755"/>
      <c r="B578" s="858"/>
      <c r="C578" s="195">
        <v>4520</v>
      </c>
      <c r="D578" s="248" t="s">
        <v>300</v>
      </c>
      <c r="E578" s="222">
        <v>634</v>
      </c>
      <c r="F578" s="227">
        <v>633.55999999999995</v>
      </c>
      <c r="G578" s="224">
        <f t="shared" si="8"/>
        <v>99.930599369085158</v>
      </c>
    </row>
    <row r="579" spans="1:7">
      <c r="A579" s="755"/>
      <c r="B579" s="858"/>
      <c r="C579" s="195">
        <v>4740</v>
      </c>
      <c r="D579" s="221" t="s">
        <v>240</v>
      </c>
      <c r="E579" s="222">
        <v>2000</v>
      </c>
      <c r="F579" s="227">
        <v>0</v>
      </c>
      <c r="G579" s="224">
        <f t="shared" si="8"/>
        <v>0</v>
      </c>
    </row>
    <row r="580" spans="1:7">
      <c r="A580" s="755"/>
      <c r="B580" s="858"/>
      <c r="C580" s="195">
        <v>4750</v>
      </c>
      <c r="D580" s="221" t="s">
        <v>241</v>
      </c>
      <c r="E580" s="222">
        <v>2000</v>
      </c>
      <c r="F580" s="227">
        <v>0</v>
      </c>
      <c r="G580" s="224">
        <f t="shared" si="8"/>
        <v>0</v>
      </c>
    </row>
    <row r="581" spans="1:7">
      <c r="A581" s="755"/>
      <c r="B581" s="858"/>
      <c r="C581" s="195"/>
      <c r="D581" s="247" t="s">
        <v>350</v>
      </c>
      <c r="E581" s="217">
        <f>SUM(E582:E600)</f>
        <v>312000</v>
      </c>
      <c r="F581" s="229">
        <f>SUM(F582:F600)</f>
        <v>129101.48000000001</v>
      </c>
      <c r="G581" s="219">
        <f t="shared" si="8"/>
        <v>41.37867948717949</v>
      </c>
    </row>
    <row r="582" spans="1:7">
      <c r="A582" s="755"/>
      <c r="B582" s="858"/>
      <c r="C582" s="220">
        <v>4010</v>
      </c>
      <c r="D582" s="248" t="s">
        <v>222</v>
      </c>
      <c r="E582" s="222">
        <v>92194</v>
      </c>
      <c r="F582" s="227">
        <v>56398.22</v>
      </c>
      <c r="G582" s="224">
        <f t="shared" si="8"/>
        <v>61.173416925179509</v>
      </c>
    </row>
    <row r="583" spans="1:7">
      <c r="A583" s="755"/>
      <c r="B583" s="858"/>
      <c r="C583" s="316">
        <v>4040</v>
      </c>
      <c r="D583" s="248" t="s">
        <v>223</v>
      </c>
      <c r="E583" s="222">
        <v>5780</v>
      </c>
      <c r="F583" s="227">
        <v>4979.37</v>
      </c>
      <c r="G583" s="224">
        <f t="shared" si="8"/>
        <v>86.148269896193767</v>
      </c>
    </row>
    <row r="584" spans="1:7">
      <c r="A584" s="755"/>
      <c r="B584" s="858"/>
      <c r="C584" s="220">
        <v>4110</v>
      </c>
      <c r="D584" s="248" t="s">
        <v>224</v>
      </c>
      <c r="E584" s="222">
        <v>17087</v>
      </c>
      <c r="F584" s="227">
        <v>7753.03</v>
      </c>
      <c r="G584" s="224">
        <f t="shared" si="8"/>
        <v>45.373851466026807</v>
      </c>
    </row>
    <row r="585" spans="1:7">
      <c r="A585" s="755"/>
      <c r="B585" s="858"/>
      <c r="C585" s="220">
        <v>4120</v>
      </c>
      <c r="D585" s="248" t="s">
        <v>276</v>
      </c>
      <c r="E585" s="222">
        <v>2400</v>
      </c>
      <c r="F585" s="227">
        <v>1230.23</v>
      </c>
      <c r="G585" s="224">
        <f t="shared" si="8"/>
        <v>51.259583333333332</v>
      </c>
    </row>
    <row r="586" spans="1:7">
      <c r="A586" s="755"/>
      <c r="B586" s="858"/>
      <c r="C586" s="220">
        <v>4170</v>
      </c>
      <c r="D586" s="221" t="s">
        <v>226</v>
      </c>
      <c r="E586" s="222">
        <v>33600</v>
      </c>
      <c r="F586" s="227">
        <v>13741.17</v>
      </c>
      <c r="G586" s="224">
        <f t="shared" si="8"/>
        <v>40.896339285714284</v>
      </c>
    </row>
    <row r="587" spans="1:7">
      <c r="A587" s="755"/>
      <c r="B587" s="858"/>
      <c r="C587" s="220">
        <v>4210</v>
      </c>
      <c r="D587" s="248" t="s">
        <v>227</v>
      </c>
      <c r="E587" s="222">
        <v>25549</v>
      </c>
      <c r="F587" s="227">
        <v>8085.05</v>
      </c>
      <c r="G587" s="224">
        <f t="shared" si="8"/>
        <v>31.645269873576265</v>
      </c>
    </row>
    <row r="588" spans="1:7">
      <c r="A588" s="755"/>
      <c r="B588" s="858"/>
      <c r="C588" s="220">
        <v>4220</v>
      </c>
      <c r="D588" s="248" t="s">
        <v>293</v>
      </c>
      <c r="E588" s="222">
        <v>43800</v>
      </c>
      <c r="F588" s="227">
        <v>4218.88</v>
      </c>
      <c r="G588" s="224">
        <f t="shared" si="8"/>
        <v>9.6321461187214616</v>
      </c>
    </row>
    <row r="589" spans="1:7">
      <c r="A589" s="755"/>
      <c r="B589" s="858"/>
      <c r="C589" s="195">
        <v>4240</v>
      </c>
      <c r="D589" s="248" t="s">
        <v>270</v>
      </c>
      <c r="E589" s="222">
        <v>3000</v>
      </c>
      <c r="F589" s="227">
        <v>0</v>
      </c>
      <c r="G589" s="224">
        <f t="shared" si="8"/>
        <v>0</v>
      </c>
    </row>
    <row r="590" spans="1:7">
      <c r="A590" s="755"/>
      <c r="B590" s="858"/>
      <c r="C590" s="220">
        <v>4260</v>
      </c>
      <c r="D590" s="248" t="s">
        <v>228</v>
      </c>
      <c r="E590" s="222">
        <v>20000</v>
      </c>
      <c r="F590" s="227">
        <v>7851.3</v>
      </c>
      <c r="G590" s="224">
        <f t="shared" si="8"/>
        <v>39.256500000000003</v>
      </c>
    </row>
    <row r="591" spans="1:7">
      <c r="A591" s="755"/>
      <c r="B591" s="858"/>
      <c r="C591" s="220">
        <v>4280</v>
      </c>
      <c r="D591" s="221" t="s">
        <v>230</v>
      </c>
      <c r="E591" s="222">
        <v>1000</v>
      </c>
      <c r="F591" s="227">
        <v>135</v>
      </c>
      <c r="G591" s="224">
        <f t="shared" si="8"/>
        <v>13.5</v>
      </c>
    </row>
    <row r="592" spans="1:7">
      <c r="A592" s="755"/>
      <c r="B592" s="858"/>
      <c r="C592" s="220">
        <v>4300</v>
      </c>
      <c r="D592" s="248" t="s">
        <v>216</v>
      </c>
      <c r="E592" s="222">
        <v>50000</v>
      </c>
      <c r="F592" s="227">
        <v>16973.310000000001</v>
      </c>
      <c r="G592" s="224">
        <f t="shared" si="8"/>
        <v>33.946620000000003</v>
      </c>
    </row>
    <row r="593" spans="1:7">
      <c r="A593" s="755"/>
      <c r="B593" s="858"/>
      <c r="C593" s="220">
        <v>4360</v>
      </c>
      <c r="D593" s="221" t="s">
        <v>232</v>
      </c>
      <c r="E593" s="222">
        <v>2400</v>
      </c>
      <c r="F593" s="227">
        <v>1479.42</v>
      </c>
      <c r="G593" s="224">
        <f t="shared" si="8"/>
        <v>61.642499999999998</v>
      </c>
    </row>
    <row r="594" spans="1:7">
      <c r="A594" s="755"/>
      <c r="B594" s="858"/>
      <c r="C594" s="195">
        <v>4370</v>
      </c>
      <c r="D594" s="221" t="s">
        <v>233</v>
      </c>
      <c r="E594" s="222">
        <v>3600</v>
      </c>
      <c r="F594" s="227">
        <v>233.22</v>
      </c>
      <c r="G594" s="224">
        <f t="shared" si="8"/>
        <v>6.4783333333333335</v>
      </c>
    </row>
    <row r="595" spans="1:7">
      <c r="A595" s="755"/>
      <c r="B595" s="858"/>
      <c r="C595" s="195">
        <v>4410</v>
      </c>
      <c r="D595" s="248" t="s">
        <v>234</v>
      </c>
      <c r="E595" s="222">
        <v>3000</v>
      </c>
      <c r="F595" s="227">
        <v>1461.88</v>
      </c>
      <c r="G595" s="224">
        <f t="shared" si="8"/>
        <v>48.729333333333336</v>
      </c>
    </row>
    <row r="596" spans="1:7">
      <c r="A596" s="755"/>
      <c r="B596" s="858"/>
      <c r="C596" s="314">
        <v>4430</v>
      </c>
      <c r="D596" s="248" t="s">
        <v>235</v>
      </c>
      <c r="E596" s="222">
        <v>200</v>
      </c>
      <c r="F596" s="227">
        <v>73.400000000000006</v>
      </c>
      <c r="G596" s="224">
        <f t="shared" si="8"/>
        <v>36.700000000000003</v>
      </c>
    </row>
    <row r="597" spans="1:7">
      <c r="A597" s="755"/>
      <c r="B597" s="858"/>
      <c r="C597" s="314">
        <v>4440</v>
      </c>
      <c r="D597" s="248" t="s">
        <v>236</v>
      </c>
      <c r="E597" s="222">
        <v>4890</v>
      </c>
      <c r="F597" s="227">
        <v>3668</v>
      </c>
      <c r="G597" s="224">
        <f t="shared" si="8"/>
        <v>75.010224948875262</v>
      </c>
    </row>
    <row r="598" spans="1:7">
      <c r="A598" s="755"/>
      <c r="B598" s="858"/>
      <c r="C598" s="195">
        <v>4700</v>
      </c>
      <c r="D598" s="221" t="s">
        <v>239</v>
      </c>
      <c r="E598" s="222">
        <v>2000</v>
      </c>
      <c r="F598" s="227">
        <v>650</v>
      </c>
      <c r="G598" s="224">
        <f t="shared" si="8"/>
        <v>32.5</v>
      </c>
    </row>
    <row r="599" spans="1:7">
      <c r="A599" s="755"/>
      <c r="B599" s="858"/>
      <c r="C599" s="314">
        <v>4740</v>
      </c>
      <c r="D599" s="221" t="s">
        <v>240</v>
      </c>
      <c r="E599" s="222">
        <v>500</v>
      </c>
      <c r="F599" s="227">
        <v>0</v>
      </c>
      <c r="G599" s="224">
        <f t="shared" si="8"/>
        <v>0</v>
      </c>
    </row>
    <row r="600" spans="1:7">
      <c r="A600" s="755"/>
      <c r="B600" s="859"/>
      <c r="C600" s="314">
        <v>4750</v>
      </c>
      <c r="D600" s="221" t="s">
        <v>241</v>
      </c>
      <c r="E600" s="222">
        <v>1000</v>
      </c>
      <c r="F600" s="227">
        <v>170</v>
      </c>
      <c r="G600" s="224">
        <f t="shared" si="8"/>
        <v>17</v>
      </c>
    </row>
    <row r="601" spans="1:7">
      <c r="A601" s="755"/>
      <c r="B601" s="263">
        <v>85204</v>
      </c>
      <c r="C601" s="263"/>
      <c r="D601" s="264" t="s">
        <v>130</v>
      </c>
      <c r="E601" s="217">
        <f>E602+E607</f>
        <v>1662358</v>
      </c>
      <c r="F601" s="229">
        <f>F602+F607</f>
        <v>840038.15999999992</v>
      </c>
      <c r="G601" s="219">
        <f t="shared" si="8"/>
        <v>50.532927323717267</v>
      </c>
    </row>
    <row r="602" spans="1:7">
      <c r="A602" s="755"/>
      <c r="B602" s="872"/>
      <c r="C602" s="265"/>
      <c r="D602" s="266" t="s">
        <v>163</v>
      </c>
      <c r="E602" s="244">
        <f>SUM(E603:E606)</f>
        <v>1583014</v>
      </c>
      <c r="F602" s="245">
        <f>SUM(F603:F606)</f>
        <v>794847.28999999992</v>
      </c>
      <c r="G602" s="224">
        <f t="shared" si="8"/>
        <v>50.211008241241068</v>
      </c>
    </row>
    <row r="603" spans="1:7">
      <c r="A603" s="755"/>
      <c r="B603" s="873"/>
      <c r="C603" s="267">
        <v>3110</v>
      </c>
      <c r="D603" s="268" t="s">
        <v>292</v>
      </c>
      <c r="E603" s="222">
        <v>1444158</v>
      </c>
      <c r="F603" s="227">
        <v>733545.23</v>
      </c>
      <c r="G603" s="224">
        <f t="shared" si="8"/>
        <v>50.793973374104496</v>
      </c>
    </row>
    <row r="604" spans="1:7">
      <c r="A604" s="755"/>
      <c r="B604" s="873"/>
      <c r="C604" s="220">
        <v>4110</v>
      </c>
      <c r="D604" s="248" t="s">
        <v>224</v>
      </c>
      <c r="E604" s="222">
        <v>18182</v>
      </c>
      <c r="F604" s="227">
        <v>8028.69</v>
      </c>
      <c r="G604" s="224">
        <f t="shared" si="8"/>
        <v>44.157353426465733</v>
      </c>
    </row>
    <row r="605" spans="1:7">
      <c r="A605" s="755"/>
      <c r="B605" s="873"/>
      <c r="C605" s="220">
        <v>4120</v>
      </c>
      <c r="D605" s="248" t="s">
        <v>276</v>
      </c>
      <c r="E605" s="222">
        <v>2887</v>
      </c>
      <c r="F605" s="227">
        <v>1273.97</v>
      </c>
      <c r="G605" s="224">
        <f t="shared" si="8"/>
        <v>44.127814340145477</v>
      </c>
    </row>
    <row r="606" spans="1:7">
      <c r="A606" s="755"/>
      <c r="B606" s="873"/>
      <c r="C606" s="220">
        <v>4170</v>
      </c>
      <c r="D606" s="221" t="s">
        <v>226</v>
      </c>
      <c r="E606" s="222">
        <v>117787</v>
      </c>
      <c r="F606" s="227">
        <v>51999.4</v>
      </c>
      <c r="G606" s="224">
        <f t="shared" si="8"/>
        <v>44.146977170655504</v>
      </c>
    </row>
    <row r="607" spans="1:7">
      <c r="A607" s="755"/>
      <c r="B607" s="873"/>
      <c r="C607" s="242"/>
      <c r="D607" s="247" t="s">
        <v>301</v>
      </c>
      <c r="E607" s="244">
        <f>E608</f>
        <v>79344</v>
      </c>
      <c r="F607" s="245">
        <f>F608</f>
        <v>45190.87</v>
      </c>
      <c r="G607" s="353">
        <f t="shared" si="8"/>
        <v>56.955623613631779</v>
      </c>
    </row>
    <row r="608" spans="1:7" ht="22.5" customHeight="1">
      <c r="A608" s="755"/>
      <c r="B608" s="874"/>
      <c r="C608" s="195">
        <v>2320</v>
      </c>
      <c r="D608" s="257" t="s">
        <v>296</v>
      </c>
      <c r="E608" s="222">
        <v>79344</v>
      </c>
      <c r="F608" s="227">
        <v>45190.87</v>
      </c>
      <c r="G608" s="224">
        <f t="shared" si="8"/>
        <v>56.955623613631779</v>
      </c>
    </row>
    <row r="609" spans="1:7">
      <c r="A609" s="755"/>
      <c r="B609" s="226">
        <v>85218</v>
      </c>
      <c r="C609" s="226"/>
      <c r="D609" s="249" t="s">
        <v>108</v>
      </c>
      <c r="E609" s="217">
        <f>SUM(E610:E632)</f>
        <v>448052</v>
      </c>
      <c r="F609" s="229">
        <f>SUM(F610:F632)</f>
        <v>230086.87000000002</v>
      </c>
      <c r="G609" s="219">
        <f t="shared" si="8"/>
        <v>51.352715756206877</v>
      </c>
    </row>
    <row r="610" spans="1:7">
      <c r="A610" s="755"/>
      <c r="B610" s="754"/>
      <c r="C610" s="220">
        <v>4010</v>
      </c>
      <c r="D610" s="248" t="s">
        <v>222</v>
      </c>
      <c r="E610" s="222">
        <v>223647</v>
      </c>
      <c r="F610" s="227">
        <v>107434.22</v>
      </c>
      <c r="G610" s="224">
        <f t="shared" si="8"/>
        <v>48.037407163968219</v>
      </c>
    </row>
    <row r="611" spans="1:7">
      <c r="A611" s="755"/>
      <c r="B611" s="755"/>
      <c r="C611" s="220">
        <v>4040</v>
      </c>
      <c r="D611" s="248" t="s">
        <v>223</v>
      </c>
      <c r="E611" s="222">
        <v>15949</v>
      </c>
      <c r="F611" s="227">
        <v>15948.78</v>
      </c>
      <c r="G611" s="224">
        <f t="shared" si="8"/>
        <v>99.998620603172611</v>
      </c>
    </row>
    <row r="612" spans="1:7">
      <c r="A612" s="755"/>
      <c r="B612" s="755"/>
      <c r="C612" s="220">
        <v>4110</v>
      </c>
      <c r="D612" s="248" t="s">
        <v>224</v>
      </c>
      <c r="E612" s="222">
        <v>36658</v>
      </c>
      <c r="F612" s="227">
        <v>20568.53</v>
      </c>
      <c r="G612" s="224">
        <f t="shared" si="8"/>
        <v>56.109253096186372</v>
      </c>
    </row>
    <row r="613" spans="1:7">
      <c r="A613" s="755"/>
      <c r="B613" s="755"/>
      <c r="C613" s="220">
        <v>4120</v>
      </c>
      <c r="D613" s="248" t="s">
        <v>276</v>
      </c>
      <c r="E613" s="222">
        <v>5766</v>
      </c>
      <c r="F613" s="227">
        <v>3333.04</v>
      </c>
      <c r="G613" s="224">
        <f t="shared" si="8"/>
        <v>57.805064169268121</v>
      </c>
    </row>
    <row r="614" spans="1:7">
      <c r="A614" s="755"/>
      <c r="B614" s="755"/>
      <c r="C614" s="316">
        <v>4170</v>
      </c>
      <c r="D614" s="221" t="s">
        <v>226</v>
      </c>
      <c r="E614" s="222">
        <v>27850</v>
      </c>
      <c r="F614" s="227">
        <v>11300</v>
      </c>
      <c r="G614" s="224">
        <f t="shared" si="8"/>
        <v>40.57450628366248</v>
      </c>
    </row>
    <row r="615" spans="1:7">
      <c r="A615" s="755"/>
      <c r="B615" s="755"/>
      <c r="C615" s="220">
        <v>4210</v>
      </c>
      <c r="D615" s="248" t="s">
        <v>227</v>
      </c>
      <c r="E615" s="222">
        <v>6800</v>
      </c>
      <c r="F615" s="227">
        <v>3052.04</v>
      </c>
      <c r="G615" s="224">
        <f t="shared" si="8"/>
        <v>44.882941176470588</v>
      </c>
    </row>
    <row r="616" spans="1:7">
      <c r="A616" s="755"/>
      <c r="B616" s="755"/>
      <c r="C616" s="220">
        <v>4260</v>
      </c>
      <c r="D616" s="248" t="s">
        <v>228</v>
      </c>
      <c r="E616" s="222">
        <v>51237</v>
      </c>
      <c r="F616" s="227">
        <v>28753.82</v>
      </c>
      <c r="G616" s="224">
        <f t="shared" si="8"/>
        <v>56.119249760914961</v>
      </c>
    </row>
    <row r="617" spans="1:7">
      <c r="A617" s="755"/>
      <c r="B617" s="755"/>
      <c r="C617" s="220">
        <v>4270</v>
      </c>
      <c r="D617" s="248" t="s">
        <v>229</v>
      </c>
      <c r="E617" s="222">
        <v>4844</v>
      </c>
      <c r="F617" s="227">
        <v>1927</v>
      </c>
      <c r="G617" s="224">
        <f t="shared" ref="G617:G686" si="9">F617*100/E617</f>
        <v>39.781172584640792</v>
      </c>
    </row>
    <row r="618" spans="1:7">
      <c r="A618" s="755"/>
      <c r="B618" s="755"/>
      <c r="C618" s="220">
        <v>4280</v>
      </c>
      <c r="D618" s="221" t="s">
        <v>230</v>
      </c>
      <c r="E618" s="222">
        <v>225</v>
      </c>
      <c r="F618" s="227">
        <v>225</v>
      </c>
      <c r="G618" s="224">
        <f t="shared" si="9"/>
        <v>100</v>
      </c>
    </row>
    <row r="619" spans="1:7">
      <c r="A619" s="755"/>
      <c r="B619" s="755"/>
      <c r="C619" s="220">
        <v>4300</v>
      </c>
      <c r="D619" s="248" t="s">
        <v>216</v>
      </c>
      <c r="E619" s="222">
        <v>26484</v>
      </c>
      <c r="F619" s="227">
        <v>14544.42</v>
      </c>
      <c r="G619" s="224">
        <f t="shared" si="9"/>
        <v>54.917761667421843</v>
      </c>
    </row>
    <row r="620" spans="1:7">
      <c r="A620" s="755"/>
      <c r="B620" s="755"/>
      <c r="C620" s="220">
        <v>4350</v>
      </c>
      <c r="D620" s="221" t="s">
        <v>231</v>
      </c>
      <c r="E620" s="222">
        <v>2825</v>
      </c>
      <c r="F620" s="227">
        <v>1134.5</v>
      </c>
      <c r="G620" s="224">
        <f t="shared" si="9"/>
        <v>40.159292035398231</v>
      </c>
    </row>
    <row r="621" spans="1:7">
      <c r="A621" s="755"/>
      <c r="B621" s="755"/>
      <c r="C621" s="220">
        <v>4360</v>
      </c>
      <c r="D621" s="221" t="s">
        <v>232</v>
      </c>
      <c r="E621" s="222">
        <v>2456</v>
      </c>
      <c r="F621" s="227">
        <v>1045.33</v>
      </c>
      <c r="G621" s="224">
        <f t="shared" si="9"/>
        <v>42.562296416938111</v>
      </c>
    </row>
    <row r="622" spans="1:7">
      <c r="A622" s="755"/>
      <c r="B622" s="755"/>
      <c r="C622" s="220">
        <v>4370</v>
      </c>
      <c r="D622" s="221" t="s">
        <v>233</v>
      </c>
      <c r="E622" s="222">
        <v>6600</v>
      </c>
      <c r="F622" s="227">
        <v>2561.94</v>
      </c>
      <c r="G622" s="224">
        <f t="shared" si="9"/>
        <v>38.81727272727273</v>
      </c>
    </row>
    <row r="623" spans="1:7">
      <c r="A623" s="755"/>
      <c r="B623" s="755"/>
      <c r="C623" s="220">
        <v>4410</v>
      </c>
      <c r="D623" s="248" t="s">
        <v>234</v>
      </c>
      <c r="E623" s="222">
        <v>3100</v>
      </c>
      <c r="F623" s="227">
        <v>1303.1600000000001</v>
      </c>
      <c r="G623" s="224">
        <f t="shared" si="9"/>
        <v>42.037419354838711</v>
      </c>
    </row>
    <row r="624" spans="1:7">
      <c r="A624" s="755"/>
      <c r="B624" s="755"/>
      <c r="C624" s="316">
        <v>4420</v>
      </c>
      <c r="D624" s="248" t="s">
        <v>251</v>
      </c>
      <c r="E624" s="222">
        <v>2000</v>
      </c>
      <c r="F624" s="227">
        <v>0</v>
      </c>
      <c r="G624" s="224">
        <f t="shared" si="9"/>
        <v>0</v>
      </c>
    </row>
    <row r="625" spans="1:7">
      <c r="A625" s="755"/>
      <c r="B625" s="755"/>
      <c r="C625" s="316">
        <v>4430</v>
      </c>
      <c r="D625" s="248" t="s">
        <v>235</v>
      </c>
      <c r="E625" s="222">
        <v>1000</v>
      </c>
      <c r="F625" s="227">
        <v>725.65</v>
      </c>
      <c r="G625" s="224">
        <f t="shared" si="9"/>
        <v>72.564999999999998</v>
      </c>
    </row>
    <row r="626" spans="1:7">
      <c r="A626" s="755"/>
      <c r="B626" s="755"/>
      <c r="C626" s="220">
        <v>4440</v>
      </c>
      <c r="D626" s="248" t="s">
        <v>236</v>
      </c>
      <c r="E626" s="222">
        <v>7410</v>
      </c>
      <c r="F626" s="227">
        <v>5600</v>
      </c>
      <c r="G626" s="224">
        <f t="shared" si="9"/>
        <v>75.57354925775978</v>
      </c>
    </row>
    <row r="627" spans="1:7">
      <c r="A627" s="755"/>
      <c r="B627" s="755"/>
      <c r="C627" s="316">
        <v>4480</v>
      </c>
      <c r="D627" s="248" t="s">
        <v>237</v>
      </c>
      <c r="E627" s="222">
        <v>5000</v>
      </c>
      <c r="F627" s="227">
        <v>1747</v>
      </c>
      <c r="G627" s="224">
        <f t="shared" si="9"/>
        <v>34.94</v>
      </c>
    </row>
    <row r="628" spans="1:7">
      <c r="A628" s="755"/>
      <c r="B628" s="755"/>
      <c r="C628" s="220">
        <v>4520</v>
      </c>
      <c r="D628" s="248" t="s">
        <v>300</v>
      </c>
      <c r="E628" s="222">
        <v>951</v>
      </c>
      <c r="F628" s="227">
        <v>950.34</v>
      </c>
      <c r="G628" s="224">
        <f t="shared" si="9"/>
        <v>99.930599369085172</v>
      </c>
    </row>
    <row r="629" spans="1:7">
      <c r="A629" s="755"/>
      <c r="B629" s="755"/>
      <c r="C629" s="220">
        <v>4530</v>
      </c>
      <c r="D629" s="221" t="s">
        <v>246</v>
      </c>
      <c r="E629" s="222">
        <v>10207</v>
      </c>
      <c r="F629" s="227">
        <v>5617</v>
      </c>
      <c r="G629" s="224">
        <f t="shared" si="9"/>
        <v>55.030861173704324</v>
      </c>
    </row>
    <row r="630" spans="1:7">
      <c r="A630" s="755"/>
      <c r="B630" s="755"/>
      <c r="C630" s="220">
        <v>4700</v>
      </c>
      <c r="D630" s="221" t="s">
        <v>239</v>
      </c>
      <c r="E630" s="222">
        <v>1000</v>
      </c>
      <c r="F630" s="227">
        <v>571</v>
      </c>
      <c r="G630" s="224">
        <f t="shared" si="9"/>
        <v>57.1</v>
      </c>
    </row>
    <row r="631" spans="1:7">
      <c r="A631" s="755"/>
      <c r="B631" s="755"/>
      <c r="C631" s="220">
        <v>4740</v>
      </c>
      <c r="D631" s="221" t="s">
        <v>240</v>
      </c>
      <c r="E631" s="222">
        <v>2937</v>
      </c>
      <c r="F631" s="227">
        <v>347.7</v>
      </c>
      <c r="G631" s="224">
        <f t="shared" si="9"/>
        <v>11.838610827374872</v>
      </c>
    </row>
    <row r="632" spans="1:7">
      <c r="A632" s="755"/>
      <c r="B632" s="756"/>
      <c r="C632" s="220">
        <v>4750</v>
      </c>
      <c r="D632" s="221" t="s">
        <v>241</v>
      </c>
      <c r="E632" s="222">
        <v>3106</v>
      </c>
      <c r="F632" s="227">
        <v>1396.4</v>
      </c>
      <c r="G632" s="224">
        <f t="shared" si="9"/>
        <v>44.95814552479073</v>
      </c>
    </row>
    <row r="633" spans="1:7">
      <c r="A633" s="755"/>
      <c r="B633" s="226">
        <v>85233</v>
      </c>
      <c r="C633" s="215"/>
      <c r="D633" s="249" t="s">
        <v>100</v>
      </c>
      <c r="E633" s="217">
        <f>E634</f>
        <v>2580</v>
      </c>
      <c r="F633" s="229">
        <f>F634</f>
        <v>2580</v>
      </c>
      <c r="G633" s="224">
        <f t="shared" si="9"/>
        <v>100</v>
      </c>
    </row>
    <row r="634" spans="1:7">
      <c r="A634" s="756"/>
      <c r="B634" s="195"/>
      <c r="C634" s="220">
        <v>4300</v>
      </c>
      <c r="D634" s="248" t="s">
        <v>216</v>
      </c>
      <c r="E634" s="222">
        <v>2580</v>
      </c>
      <c r="F634" s="227">
        <v>2580</v>
      </c>
      <c r="G634" s="224">
        <f t="shared" si="9"/>
        <v>100</v>
      </c>
    </row>
    <row r="635" spans="1:7">
      <c r="A635" s="269">
        <v>853</v>
      </c>
      <c r="B635" s="269"/>
      <c r="C635" s="269"/>
      <c r="D635" s="270" t="s">
        <v>51</v>
      </c>
      <c r="E635" s="212">
        <f>E638+E649+E667+E669+E636</f>
        <v>2719128</v>
      </c>
      <c r="F635" s="228">
        <f>F638+F649+F667+F669+F636</f>
        <v>1453228.9999999995</v>
      </c>
      <c r="G635" s="214">
        <f t="shared" si="9"/>
        <v>53.444670497306468</v>
      </c>
    </row>
    <row r="636" spans="1:7">
      <c r="A636" s="881"/>
      <c r="B636" s="271">
        <v>85311</v>
      </c>
      <c r="C636" s="271"/>
      <c r="D636" s="272" t="s">
        <v>187</v>
      </c>
      <c r="E636" s="217">
        <f>E637</f>
        <v>10000</v>
      </c>
      <c r="F636" s="229">
        <f>F637</f>
        <v>0</v>
      </c>
      <c r="G636" s="224">
        <f t="shared" si="9"/>
        <v>0</v>
      </c>
    </row>
    <row r="637" spans="1:7" ht="25.5" customHeight="1">
      <c r="A637" s="882"/>
      <c r="B637" s="273"/>
      <c r="C637" s="662">
        <v>2580</v>
      </c>
      <c r="D637" s="274" t="s">
        <v>354</v>
      </c>
      <c r="E637" s="222">
        <v>10000</v>
      </c>
      <c r="F637" s="227">
        <v>0</v>
      </c>
      <c r="G637" s="224">
        <f t="shared" si="9"/>
        <v>0</v>
      </c>
    </row>
    <row r="638" spans="1:7">
      <c r="A638" s="882"/>
      <c r="B638" s="226">
        <v>85321</v>
      </c>
      <c r="C638" s="226"/>
      <c r="D638" s="249" t="s">
        <v>302</v>
      </c>
      <c r="E638" s="217">
        <f>SUM(E639:E648)</f>
        <v>73000</v>
      </c>
      <c r="F638" s="229">
        <f>SUM(F639:F648)</f>
        <v>31395.25</v>
      </c>
      <c r="G638" s="219">
        <f t="shared" si="9"/>
        <v>43.00719178082192</v>
      </c>
    </row>
    <row r="639" spans="1:7">
      <c r="A639" s="882"/>
      <c r="B639" s="857"/>
      <c r="C639" s="195">
        <v>4010</v>
      </c>
      <c r="D639" s="248" t="s">
        <v>222</v>
      </c>
      <c r="E639" s="222">
        <v>29041</v>
      </c>
      <c r="F639" s="227">
        <v>12789.76</v>
      </c>
      <c r="G639" s="224">
        <f t="shared" si="9"/>
        <v>44.040356737026961</v>
      </c>
    </row>
    <row r="640" spans="1:7">
      <c r="A640" s="882"/>
      <c r="B640" s="858"/>
      <c r="C640" s="195">
        <v>4040</v>
      </c>
      <c r="D640" s="248" t="s">
        <v>223</v>
      </c>
      <c r="E640" s="222">
        <v>2133</v>
      </c>
      <c r="F640" s="227">
        <v>2132.8200000000002</v>
      </c>
      <c r="G640" s="224">
        <f t="shared" si="9"/>
        <v>99.991561181434619</v>
      </c>
    </row>
    <row r="641" spans="1:7">
      <c r="A641" s="882"/>
      <c r="B641" s="858"/>
      <c r="C641" s="220">
        <v>4110</v>
      </c>
      <c r="D641" s="248" t="s">
        <v>224</v>
      </c>
      <c r="E641" s="222">
        <v>7695</v>
      </c>
      <c r="F641" s="227">
        <v>2520.81</v>
      </c>
      <c r="G641" s="224">
        <f t="shared" si="9"/>
        <v>32.759064327485383</v>
      </c>
    </row>
    <row r="642" spans="1:7">
      <c r="A642" s="882"/>
      <c r="B642" s="858"/>
      <c r="C642" s="220">
        <v>4120</v>
      </c>
      <c r="D642" s="248" t="s">
        <v>276</v>
      </c>
      <c r="E642" s="222">
        <v>1081</v>
      </c>
      <c r="F642" s="227">
        <v>377.06</v>
      </c>
      <c r="G642" s="224">
        <f t="shared" si="9"/>
        <v>34.880666049953746</v>
      </c>
    </row>
    <row r="643" spans="1:7">
      <c r="A643" s="882"/>
      <c r="B643" s="858"/>
      <c r="C643" s="220">
        <v>4170</v>
      </c>
      <c r="D643" s="221" t="s">
        <v>226</v>
      </c>
      <c r="E643" s="222">
        <v>12950</v>
      </c>
      <c r="F643" s="227">
        <v>4126</v>
      </c>
      <c r="G643" s="224">
        <f t="shared" si="9"/>
        <v>31.861003861003862</v>
      </c>
    </row>
    <row r="644" spans="1:7">
      <c r="A644" s="882"/>
      <c r="B644" s="858"/>
      <c r="C644" s="220">
        <v>4210</v>
      </c>
      <c r="D644" s="248" t="s">
        <v>227</v>
      </c>
      <c r="E644" s="222">
        <v>1200</v>
      </c>
      <c r="F644" s="227">
        <v>12.8</v>
      </c>
      <c r="G644" s="224">
        <f t="shared" si="9"/>
        <v>1.0666666666666667</v>
      </c>
    </row>
    <row r="645" spans="1:7">
      <c r="A645" s="882"/>
      <c r="B645" s="858"/>
      <c r="C645" s="220">
        <v>4300</v>
      </c>
      <c r="D645" s="248" t="s">
        <v>216</v>
      </c>
      <c r="E645" s="222">
        <v>17293</v>
      </c>
      <c r="F645" s="227">
        <v>8631</v>
      </c>
      <c r="G645" s="224">
        <f t="shared" si="9"/>
        <v>49.910368357138729</v>
      </c>
    </row>
    <row r="646" spans="1:7">
      <c r="A646" s="882"/>
      <c r="B646" s="858"/>
      <c r="C646" s="220">
        <v>4410</v>
      </c>
      <c r="D646" s="248" t="s">
        <v>234</v>
      </c>
      <c r="E646" s="222">
        <v>200</v>
      </c>
      <c r="F646" s="227">
        <v>0</v>
      </c>
      <c r="G646" s="224">
        <f t="shared" si="9"/>
        <v>0</v>
      </c>
    </row>
    <row r="647" spans="1:7">
      <c r="A647" s="882"/>
      <c r="B647" s="858"/>
      <c r="C647" s="220">
        <v>4440</v>
      </c>
      <c r="D647" s="248" t="s">
        <v>236</v>
      </c>
      <c r="E647" s="222">
        <v>907</v>
      </c>
      <c r="F647" s="227">
        <v>805</v>
      </c>
      <c r="G647" s="224">
        <f t="shared" si="9"/>
        <v>88.754134509371553</v>
      </c>
    </row>
    <row r="648" spans="1:7">
      <c r="A648" s="882"/>
      <c r="B648" s="859"/>
      <c r="C648" s="220">
        <v>4740</v>
      </c>
      <c r="D648" s="221" t="s">
        <v>240</v>
      </c>
      <c r="E648" s="222">
        <v>500</v>
      </c>
      <c r="F648" s="227">
        <v>0</v>
      </c>
      <c r="G648" s="224">
        <f t="shared" si="9"/>
        <v>0</v>
      </c>
    </row>
    <row r="649" spans="1:7">
      <c r="A649" s="882"/>
      <c r="B649" s="226">
        <v>85333</v>
      </c>
      <c r="C649" s="226"/>
      <c r="D649" s="249" t="s">
        <v>110</v>
      </c>
      <c r="E649" s="217">
        <f>SUM(E650:E666)</f>
        <v>1545442</v>
      </c>
      <c r="F649" s="229">
        <f>SUM(F650:F666)</f>
        <v>759829.76999999967</v>
      </c>
      <c r="G649" s="219">
        <f t="shared" si="9"/>
        <v>49.165854816939081</v>
      </c>
    </row>
    <row r="650" spans="1:7">
      <c r="A650" s="882"/>
      <c r="B650" s="857"/>
      <c r="C650" s="220">
        <v>4010</v>
      </c>
      <c r="D650" s="248" t="s">
        <v>222</v>
      </c>
      <c r="E650" s="222">
        <v>1094772</v>
      </c>
      <c r="F650" s="227">
        <v>496761.41</v>
      </c>
      <c r="G650" s="224">
        <f t="shared" si="9"/>
        <v>45.375786921843087</v>
      </c>
    </row>
    <row r="651" spans="1:7">
      <c r="A651" s="882"/>
      <c r="B651" s="858"/>
      <c r="C651" s="220">
        <v>4040</v>
      </c>
      <c r="D651" s="248" t="s">
        <v>223</v>
      </c>
      <c r="E651" s="222">
        <v>72668</v>
      </c>
      <c r="F651" s="227">
        <v>72667.39</v>
      </c>
      <c r="G651" s="224">
        <f t="shared" si="9"/>
        <v>99.999160565861175</v>
      </c>
    </row>
    <row r="652" spans="1:7">
      <c r="A652" s="882"/>
      <c r="B652" s="858"/>
      <c r="C652" s="220">
        <v>4110</v>
      </c>
      <c r="D652" s="248" t="s">
        <v>224</v>
      </c>
      <c r="E652" s="222">
        <v>183220</v>
      </c>
      <c r="F652" s="227">
        <v>83463.25</v>
      </c>
      <c r="G652" s="224">
        <f t="shared" si="9"/>
        <v>45.553569479314483</v>
      </c>
    </row>
    <row r="653" spans="1:7">
      <c r="A653" s="882"/>
      <c r="B653" s="858"/>
      <c r="C653" s="220">
        <v>4120</v>
      </c>
      <c r="D653" s="248" t="s">
        <v>276</v>
      </c>
      <c r="E653" s="222">
        <v>30297</v>
      </c>
      <c r="F653" s="227">
        <v>12996.32</v>
      </c>
      <c r="G653" s="224">
        <f t="shared" si="9"/>
        <v>42.896392382084038</v>
      </c>
    </row>
    <row r="654" spans="1:7">
      <c r="A654" s="882"/>
      <c r="B654" s="858"/>
      <c r="C654" s="220">
        <v>4170</v>
      </c>
      <c r="D654" s="221" t="s">
        <v>226</v>
      </c>
      <c r="E654" s="222">
        <v>49230</v>
      </c>
      <c r="F654" s="227">
        <v>23328.1</v>
      </c>
      <c r="G654" s="224">
        <f t="shared" si="9"/>
        <v>47.385943530367662</v>
      </c>
    </row>
    <row r="655" spans="1:7">
      <c r="A655" s="882"/>
      <c r="B655" s="858"/>
      <c r="C655" s="220">
        <v>4210</v>
      </c>
      <c r="D655" s="248" t="s">
        <v>227</v>
      </c>
      <c r="E655" s="222">
        <v>10166</v>
      </c>
      <c r="F655" s="227">
        <v>3286.34</v>
      </c>
      <c r="G655" s="224">
        <f t="shared" si="9"/>
        <v>32.326775526264015</v>
      </c>
    </row>
    <row r="656" spans="1:7">
      <c r="A656" s="882"/>
      <c r="B656" s="858"/>
      <c r="C656" s="275">
        <v>4260</v>
      </c>
      <c r="D656" s="276" t="s">
        <v>228</v>
      </c>
      <c r="E656" s="277">
        <v>26000</v>
      </c>
      <c r="F656" s="278">
        <v>15842.73</v>
      </c>
      <c r="G656" s="224">
        <f t="shared" si="9"/>
        <v>60.93357692307692</v>
      </c>
    </row>
    <row r="657" spans="1:7">
      <c r="A657" s="882"/>
      <c r="B657" s="858"/>
      <c r="C657" s="275">
        <v>4270</v>
      </c>
      <c r="D657" s="248" t="s">
        <v>229</v>
      </c>
      <c r="E657" s="277">
        <v>4092</v>
      </c>
      <c r="F657" s="278">
        <v>1945.95</v>
      </c>
      <c r="G657" s="224">
        <f t="shared" si="9"/>
        <v>47.554985337243401</v>
      </c>
    </row>
    <row r="658" spans="1:7">
      <c r="A658" s="882"/>
      <c r="B658" s="858"/>
      <c r="C658" s="275">
        <v>4280</v>
      </c>
      <c r="D658" s="221" t="s">
        <v>230</v>
      </c>
      <c r="E658" s="277">
        <v>1330</v>
      </c>
      <c r="F658" s="278">
        <v>575</v>
      </c>
      <c r="G658" s="224">
        <f t="shared" si="9"/>
        <v>43.233082706766915</v>
      </c>
    </row>
    <row r="659" spans="1:7">
      <c r="A659" s="882"/>
      <c r="B659" s="858"/>
      <c r="C659" s="220">
        <v>4300</v>
      </c>
      <c r="D659" s="248" t="s">
        <v>216</v>
      </c>
      <c r="E659" s="222">
        <v>7887</v>
      </c>
      <c r="F659" s="227">
        <v>1310.0899999999999</v>
      </c>
      <c r="G659" s="224">
        <f t="shared" si="9"/>
        <v>16.610751870166094</v>
      </c>
    </row>
    <row r="660" spans="1:7">
      <c r="A660" s="882"/>
      <c r="B660" s="858"/>
      <c r="C660" s="220">
        <v>4360</v>
      </c>
      <c r="D660" s="221" t="s">
        <v>232</v>
      </c>
      <c r="E660" s="222">
        <v>1228</v>
      </c>
      <c r="F660" s="227">
        <v>163.83000000000001</v>
      </c>
      <c r="G660" s="224">
        <f t="shared" si="9"/>
        <v>13.341205211726386</v>
      </c>
    </row>
    <row r="661" spans="1:7">
      <c r="A661" s="882"/>
      <c r="B661" s="858"/>
      <c r="C661" s="220">
        <v>4370</v>
      </c>
      <c r="D661" s="221" t="s">
        <v>233</v>
      </c>
      <c r="E661" s="222">
        <v>4910</v>
      </c>
      <c r="F661" s="227">
        <v>618.4</v>
      </c>
      <c r="G661" s="224">
        <f t="shared" si="9"/>
        <v>12.594704684317719</v>
      </c>
    </row>
    <row r="662" spans="1:7">
      <c r="A662" s="882"/>
      <c r="B662" s="858"/>
      <c r="C662" s="220">
        <v>4410</v>
      </c>
      <c r="D662" s="248" t="s">
        <v>234</v>
      </c>
      <c r="E662" s="222">
        <v>7161</v>
      </c>
      <c r="F662" s="227">
        <v>6273.96</v>
      </c>
      <c r="G662" s="224">
        <f t="shared" si="9"/>
        <v>87.612903225806448</v>
      </c>
    </row>
    <row r="663" spans="1:7">
      <c r="A663" s="882"/>
      <c r="B663" s="858"/>
      <c r="C663" s="220">
        <v>4430</v>
      </c>
      <c r="D663" s="248" t="s">
        <v>235</v>
      </c>
      <c r="E663" s="222">
        <v>1580</v>
      </c>
      <c r="F663" s="227">
        <v>0</v>
      </c>
      <c r="G663" s="224">
        <f t="shared" si="9"/>
        <v>0</v>
      </c>
    </row>
    <row r="664" spans="1:7">
      <c r="A664" s="882"/>
      <c r="B664" s="858"/>
      <c r="C664" s="220">
        <v>4440</v>
      </c>
      <c r="D664" s="248" t="s">
        <v>236</v>
      </c>
      <c r="E664" s="222">
        <v>41288</v>
      </c>
      <c r="F664" s="227">
        <v>37171</v>
      </c>
      <c r="G664" s="224">
        <f t="shared" si="9"/>
        <v>90.028579732609955</v>
      </c>
    </row>
    <row r="665" spans="1:7">
      <c r="A665" s="882"/>
      <c r="B665" s="858"/>
      <c r="C665" s="316">
        <v>4480</v>
      </c>
      <c r="D665" s="248" t="s">
        <v>237</v>
      </c>
      <c r="E665" s="222">
        <v>6851</v>
      </c>
      <c r="F665" s="227">
        <v>3426</v>
      </c>
      <c r="G665" s="224">
        <f t="shared" si="9"/>
        <v>50.007298204641657</v>
      </c>
    </row>
    <row r="666" spans="1:7">
      <c r="A666" s="882"/>
      <c r="B666" s="859"/>
      <c r="C666" s="220">
        <v>4700</v>
      </c>
      <c r="D666" s="221" t="s">
        <v>239</v>
      </c>
      <c r="E666" s="222">
        <v>2762</v>
      </c>
      <c r="F666" s="227">
        <v>0</v>
      </c>
      <c r="G666" s="224">
        <f t="shared" si="9"/>
        <v>0</v>
      </c>
    </row>
    <row r="667" spans="1:7">
      <c r="A667" s="882"/>
      <c r="B667" s="226">
        <v>85334</v>
      </c>
      <c r="C667" s="215"/>
      <c r="D667" s="249" t="s">
        <v>142</v>
      </c>
      <c r="E667" s="217">
        <f>E668</f>
        <v>15286</v>
      </c>
      <c r="F667" s="229">
        <f>F668</f>
        <v>12587.4</v>
      </c>
      <c r="G667" s="219">
        <f t="shared" si="9"/>
        <v>82.345937459112918</v>
      </c>
    </row>
    <row r="668" spans="1:7">
      <c r="A668" s="882"/>
      <c r="B668" s="226"/>
      <c r="C668" s="220">
        <v>3110</v>
      </c>
      <c r="D668" s="248" t="s">
        <v>303</v>
      </c>
      <c r="E668" s="222">
        <v>15286</v>
      </c>
      <c r="F668" s="227">
        <v>12587.4</v>
      </c>
      <c r="G668" s="224">
        <f t="shared" si="9"/>
        <v>82.345937459112918</v>
      </c>
    </row>
    <row r="669" spans="1:7">
      <c r="A669" s="882"/>
      <c r="B669" s="239">
        <v>85395</v>
      </c>
      <c r="C669" s="220"/>
      <c r="D669" s="249" t="s">
        <v>89</v>
      </c>
      <c r="E669" s="217">
        <f>E670+E701+E676</f>
        <v>1075400</v>
      </c>
      <c r="F669" s="229">
        <f>F670+F701+F676</f>
        <v>649416.57999999996</v>
      </c>
      <c r="G669" s="224">
        <f t="shared" si="9"/>
        <v>60.38837455830388</v>
      </c>
    </row>
    <row r="670" spans="1:7">
      <c r="A670" s="882"/>
      <c r="B670" s="857"/>
      <c r="C670" s="220"/>
      <c r="D670" s="247" t="s">
        <v>164</v>
      </c>
      <c r="E670" s="244">
        <f>SUM(E671:E675)</f>
        <v>65583</v>
      </c>
      <c r="F670" s="245">
        <f>SUM(F671:F675)</f>
        <v>0</v>
      </c>
      <c r="G670" s="353">
        <f t="shared" si="9"/>
        <v>0</v>
      </c>
    </row>
    <row r="671" spans="1:7">
      <c r="A671" s="882"/>
      <c r="B671" s="858"/>
      <c r="C671" s="220">
        <v>4018</v>
      </c>
      <c r="D671" s="248" t="s">
        <v>222</v>
      </c>
      <c r="E671" s="222">
        <v>49571</v>
      </c>
      <c r="F671" s="227">
        <v>0</v>
      </c>
      <c r="G671" s="224">
        <f t="shared" si="9"/>
        <v>0</v>
      </c>
    </row>
    <row r="672" spans="1:7">
      <c r="A672" s="882"/>
      <c r="B672" s="858"/>
      <c r="C672" s="220">
        <v>4118</v>
      </c>
      <c r="D672" s="248" t="s">
        <v>224</v>
      </c>
      <c r="E672" s="222">
        <v>7485</v>
      </c>
      <c r="F672" s="227">
        <v>0</v>
      </c>
      <c r="G672" s="224">
        <f t="shared" si="9"/>
        <v>0</v>
      </c>
    </row>
    <row r="673" spans="1:7">
      <c r="A673" s="882"/>
      <c r="B673" s="858"/>
      <c r="C673" s="220">
        <v>4128</v>
      </c>
      <c r="D673" s="248" t="s">
        <v>276</v>
      </c>
      <c r="E673" s="222">
        <v>1214</v>
      </c>
      <c r="F673" s="227">
        <v>0</v>
      </c>
      <c r="G673" s="224">
        <f t="shared" si="9"/>
        <v>0</v>
      </c>
    </row>
    <row r="674" spans="1:7">
      <c r="A674" s="882"/>
      <c r="B674" s="858"/>
      <c r="C674" s="316">
        <v>4218</v>
      </c>
      <c r="D674" s="248" t="s">
        <v>227</v>
      </c>
      <c r="E674" s="222">
        <v>5500</v>
      </c>
      <c r="F674" s="227">
        <v>0</v>
      </c>
      <c r="G674" s="224">
        <f t="shared" si="9"/>
        <v>0</v>
      </c>
    </row>
    <row r="675" spans="1:7">
      <c r="A675" s="882"/>
      <c r="B675" s="858"/>
      <c r="C675" s="220">
        <v>4448</v>
      </c>
      <c r="D675" s="248" t="s">
        <v>236</v>
      </c>
      <c r="E675" s="222">
        <v>1813</v>
      </c>
      <c r="F675" s="227">
        <v>0</v>
      </c>
      <c r="G675" s="224">
        <f t="shared" si="9"/>
        <v>0</v>
      </c>
    </row>
    <row r="676" spans="1:7">
      <c r="A676" s="882"/>
      <c r="B676" s="858"/>
      <c r="C676" s="220"/>
      <c r="D676" s="247" t="s">
        <v>163</v>
      </c>
      <c r="E676" s="244">
        <f>SUM(E677:E700)</f>
        <v>327874</v>
      </c>
      <c r="F676" s="245">
        <f>SUM(F677:F700)</f>
        <v>37428.97</v>
      </c>
      <c r="G676" s="353">
        <f t="shared" si="9"/>
        <v>11.415656624191</v>
      </c>
    </row>
    <row r="677" spans="1:7">
      <c r="A677" s="882"/>
      <c r="B677" s="858"/>
      <c r="C677" s="316">
        <v>3118</v>
      </c>
      <c r="D677" s="268" t="s">
        <v>292</v>
      </c>
      <c r="E677" s="222">
        <v>59589</v>
      </c>
      <c r="F677" s="227">
        <v>0</v>
      </c>
      <c r="G677" s="224">
        <f t="shared" si="9"/>
        <v>0</v>
      </c>
    </row>
    <row r="678" spans="1:7">
      <c r="A678" s="882"/>
      <c r="B678" s="858"/>
      <c r="C678" s="316">
        <v>3119</v>
      </c>
      <c r="D678" s="268" t="s">
        <v>292</v>
      </c>
      <c r="E678" s="222">
        <v>36613</v>
      </c>
      <c r="F678" s="227">
        <v>494.1</v>
      </c>
      <c r="G678" s="224">
        <f t="shared" si="9"/>
        <v>1.349520662059924</v>
      </c>
    </row>
    <row r="679" spans="1:7">
      <c r="A679" s="882"/>
      <c r="B679" s="858"/>
      <c r="C679" s="316">
        <v>4018</v>
      </c>
      <c r="D679" s="248" t="s">
        <v>222</v>
      </c>
      <c r="E679" s="222">
        <v>10578</v>
      </c>
      <c r="F679" s="227">
        <v>2644.32</v>
      </c>
      <c r="G679" s="224">
        <f t="shared" si="9"/>
        <v>24.998298355076574</v>
      </c>
    </row>
    <row r="680" spans="1:7">
      <c r="A680" s="882"/>
      <c r="B680" s="858"/>
      <c r="C680" s="316">
        <v>4019</v>
      </c>
      <c r="D680" s="248" t="s">
        <v>222</v>
      </c>
      <c r="E680" s="222">
        <v>622</v>
      </c>
      <c r="F680" s="227">
        <v>155.68</v>
      </c>
      <c r="G680" s="224">
        <f t="shared" si="9"/>
        <v>25.028938906752412</v>
      </c>
    </row>
    <row r="681" spans="1:7">
      <c r="A681" s="882"/>
      <c r="B681" s="858"/>
      <c r="C681" s="220">
        <v>4118</v>
      </c>
      <c r="D681" s="248" t="s">
        <v>224</v>
      </c>
      <c r="E681" s="222">
        <v>8478</v>
      </c>
      <c r="F681" s="227">
        <v>529.29999999999995</v>
      </c>
      <c r="G681" s="224">
        <f t="shared" si="9"/>
        <v>6.2432177400330255</v>
      </c>
    </row>
    <row r="682" spans="1:7">
      <c r="A682" s="882"/>
      <c r="B682" s="858"/>
      <c r="C682" s="220">
        <v>4119</v>
      </c>
      <c r="D682" s="248" t="s">
        <v>224</v>
      </c>
      <c r="E682" s="222">
        <v>498</v>
      </c>
      <c r="F682" s="227">
        <v>31.17</v>
      </c>
      <c r="G682" s="224">
        <f t="shared" si="9"/>
        <v>6.2590361445783129</v>
      </c>
    </row>
    <row r="683" spans="1:7">
      <c r="A683" s="882"/>
      <c r="B683" s="858"/>
      <c r="C683" s="220">
        <v>4128</v>
      </c>
      <c r="D683" s="248" t="s">
        <v>276</v>
      </c>
      <c r="E683" s="222">
        <v>1268</v>
      </c>
      <c r="F683" s="227">
        <v>64.790000000000006</v>
      </c>
      <c r="G683" s="224">
        <f t="shared" si="9"/>
        <v>5.1096214511041014</v>
      </c>
    </row>
    <row r="684" spans="1:7">
      <c r="A684" s="882"/>
      <c r="B684" s="858"/>
      <c r="C684" s="220">
        <v>4129</v>
      </c>
      <c r="D684" s="248" t="s">
        <v>276</v>
      </c>
      <c r="E684" s="222">
        <v>75</v>
      </c>
      <c r="F684" s="227">
        <v>3.81</v>
      </c>
      <c r="G684" s="224">
        <f t="shared" si="9"/>
        <v>5.08</v>
      </c>
    </row>
    <row r="685" spans="1:7">
      <c r="A685" s="882"/>
      <c r="B685" s="858"/>
      <c r="C685" s="220">
        <v>4178</v>
      </c>
      <c r="D685" s="221" t="s">
        <v>226</v>
      </c>
      <c r="E685" s="222">
        <v>117228</v>
      </c>
      <c r="F685" s="227">
        <v>23260.58</v>
      </c>
      <c r="G685" s="224">
        <f t="shared" si="9"/>
        <v>19.842170812433888</v>
      </c>
    </row>
    <row r="686" spans="1:7">
      <c r="A686" s="882"/>
      <c r="B686" s="858"/>
      <c r="C686" s="220">
        <v>4179</v>
      </c>
      <c r="D686" s="221" t="s">
        <v>226</v>
      </c>
      <c r="E686" s="222">
        <v>6899</v>
      </c>
      <c r="F686" s="227">
        <v>1369.42</v>
      </c>
      <c r="G686" s="224">
        <f t="shared" si="9"/>
        <v>19.849543412088707</v>
      </c>
    </row>
    <row r="687" spans="1:7">
      <c r="A687" s="882"/>
      <c r="B687" s="858"/>
      <c r="C687" s="220">
        <v>4218</v>
      </c>
      <c r="D687" s="248" t="s">
        <v>227</v>
      </c>
      <c r="E687" s="222">
        <v>26387</v>
      </c>
      <c r="F687" s="227">
        <v>1095.5</v>
      </c>
      <c r="G687" s="224">
        <f t="shared" ref="G687:G763" si="10">F687*100/E687</f>
        <v>4.1516655929055979</v>
      </c>
    </row>
    <row r="688" spans="1:7">
      <c r="A688" s="882"/>
      <c r="B688" s="858"/>
      <c r="C688" s="220">
        <v>4219</v>
      </c>
      <c r="D688" s="248" t="s">
        <v>227</v>
      </c>
      <c r="E688" s="222">
        <v>1553</v>
      </c>
      <c r="F688" s="227">
        <v>64.5</v>
      </c>
      <c r="G688" s="224">
        <f t="shared" si="10"/>
        <v>4.1532517707662588</v>
      </c>
    </row>
    <row r="689" spans="1:7">
      <c r="A689" s="882"/>
      <c r="B689" s="858"/>
      <c r="C689" s="220">
        <v>4308</v>
      </c>
      <c r="D689" s="248" t="s">
        <v>216</v>
      </c>
      <c r="E689" s="222">
        <v>33387</v>
      </c>
      <c r="F689" s="227">
        <v>6497.47</v>
      </c>
      <c r="G689" s="224">
        <f t="shared" si="10"/>
        <v>19.461077664959415</v>
      </c>
    </row>
    <row r="690" spans="1:7">
      <c r="A690" s="882"/>
      <c r="B690" s="858"/>
      <c r="C690" s="220">
        <v>4309</v>
      </c>
      <c r="D690" s="248" t="s">
        <v>216</v>
      </c>
      <c r="E690" s="222">
        <v>1985</v>
      </c>
      <c r="F690" s="227">
        <v>382.53</v>
      </c>
      <c r="G690" s="224">
        <f t="shared" si="10"/>
        <v>19.271032745591938</v>
      </c>
    </row>
    <row r="691" spans="1:7">
      <c r="A691" s="882"/>
      <c r="B691" s="858"/>
      <c r="C691" s="220">
        <v>4418</v>
      </c>
      <c r="D691" s="248" t="s">
        <v>285</v>
      </c>
      <c r="E691" s="222">
        <v>1724</v>
      </c>
      <c r="F691" s="227">
        <v>0</v>
      </c>
      <c r="G691" s="224">
        <f t="shared" si="10"/>
        <v>0</v>
      </c>
    </row>
    <row r="692" spans="1:7">
      <c r="A692" s="882"/>
      <c r="B692" s="858"/>
      <c r="C692" s="220">
        <v>4419</v>
      </c>
      <c r="D692" s="248" t="s">
        <v>285</v>
      </c>
      <c r="E692" s="222">
        <v>102</v>
      </c>
      <c r="F692" s="227">
        <v>0</v>
      </c>
      <c r="G692" s="224">
        <f t="shared" si="10"/>
        <v>0</v>
      </c>
    </row>
    <row r="693" spans="1:7">
      <c r="A693" s="882"/>
      <c r="B693" s="858"/>
      <c r="C693" s="220">
        <v>4448</v>
      </c>
      <c r="D693" s="248" t="s">
        <v>236</v>
      </c>
      <c r="E693" s="222">
        <v>571</v>
      </c>
      <c r="F693" s="227">
        <v>570.41999999999996</v>
      </c>
      <c r="G693" s="224">
        <f t="shared" si="10"/>
        <v>99.898423817863389</v>
      </c>
    </row>
    <row r="694" spans="1:7">
      <c r="A694" s="882"/>
      <c r="B694" s="858"/>
      <c r="C694" s="220">
        <v>4449</v>
      </c>
      <c r="D694" s="248" t="s">
        <v>236</v>
      </c>
      <c r="E694" s="222">
        <v>33</v>
      </c>
      <c r="F694" s="227">
        <v>33.58</v>
      </c>
      <c r="G694" s="224">
        <f t="shared" si="10"/>
        <v>101.75757575757575</v>
      </c>
    </row>
    <row r="695" spans="1:7">
      <c r="A695" s="882"/>
      <c r="B695" s="858"/>
      <c r="C695" s="316">
        <v>4748</v>
      </c>
      <c r="D695" s="221" t="s">
        <v>240</v>
      </c>
      <c r="E695" s="222">
        <v>5666</v>
      </c>
      <c r="F695" s="227">
        <v>218.91</v>
      </c>
      <c r="G695" s="224">
        <f t="shared" si="10"/>
        <v>3.863572184962937</v>
      </c>
    </row>
    <row r="696" spans="1:7">
      <c r="A696" s="882"/>
      <c r="B696" s="858"/>
      <c r="C696" s="316">
        <v>4749</v>
      </c>
      <c r="D696" s="221" t="s">
        <v>240</v>
      </c>
      <c r="E696" s="222">
        <v>334</v>
      </c>
      <c r="F696" s="227">
        <v>12.89</v>
      </c>
      <c r="G696" s="224">
        <f t="shared" si="10"/>
        <v>3.8592814371257487</v>
      </c>
    </row>
    <row r="697" spans="1:7">
      <c r="A697" s="882"/>
      <c r="B697" s="858"/>
      <c r="C697" s="316">
        <v>4758</v>
      </c>
      <c r="D697" s="221" t="s">
        <v>241</v>
      </c>
      <c r="E697" s="222">
        <v>4990</v>
      </c>
      <c r="F697" s="227">
        <v>0</v>
      </c>
      <c r="G697" s="224">
        <f t="shared" si="10"/>
        <v>0</v>
      </c>
    </row>
    <row r="698" spans="1:7">
      <c r="A698" s="882"/>
      <c r="B698" s="858"/>
      <c r="C698" s="316">
        <v>4759</v>
      </c>
      <c r="D698" s="221" t="s">
        <v>241</v>
      </c>
      <c r="E698" s="222">
        <v>294</v>
      </c>
      <c r="F698" s="227">
        <v>0</v>
      </c>
      <c r="G698" s="224">
        <f t="shared" si="10"/>
        <v>0</v>
      </c>
    </row>
    <row r="699" spans="1:7">
      <c r="A699" s="882"/>
      <c r="B699" s="858"/>
      <c r="C699" s="316">
        <v>6068</v>
      </c>
      <c r="D699" s="248" t="s">
        <v>243</v>
      </c>
      <c r="E699" s="222">
        <v>8500</v>
      </c>
      <c r="F699" s="227">
        <v>0</v>
      </c>
      <c r="G699" s="224">
        <f t="shared" si="10"/>
        <v>0</v>
      </c>
    </row>
    <row r="700" spans="1:7">
      <c r="A700" s="882"/>
      <c r="B700" s="858"/>
      <c r="C700" s="316">
        <v>6069</v>
      </c>
      <c r="D700" s="248" t="s">
        <v>243</v>
      </c>
      <c r="E700" s="222">
        <v>500</v>
      </c>
      <c r="F700" s="227">
        <v>0</v>
      </c>
      <c r="G700" s="224">
        <f t="shared" si="10"/>
        <v>0</v>
      </c>
    </row>
    <row r="701" spans="1:7">
      <c r="A701" s="882"/>
      <c r="B701" s="858"/>
      <c r="C701" s="220"/>
      <c r="D701" s="247" t="s">
        <v>279</v>
      </c>
      <c r="E701" s="244">
        <f>SUM(E702:E715)</f>
        <v>681943</v>
      </c>
      <c r="F701" s="245">
        <f>SUM(F702:F715)</f>
        <v>611987.61</v>
      </c>
      <c r="G701" s="353">
        <f t="shared" si="10"/>
        <v>89.741754076220445</v>
      </c>
    </row>
    <row r="702" spans="1:7" ht="17.25" customHeight="1">
      <c r="A702" s="882"/>
      <c r="B702" s="858"/>
      <c r="C702" s="316">
        <v>2318</v>
      </c>
      <c r="D702" s="855" t="s">
        <v>355</v>
      </c>
      <c r="E702" s="222">
        <v>499357</v>
      </c>
      <c r="F702" s="227">
        <v>499355.69</v>
      </c>
      <c r="G702" s="224">
        <f t="shared" si="10"/>
        <v>99.999737662634146</v>
      </c>
    </row>
    <row r="703" spans="1:7" ht="17.25" customHeight="1">
      <c r="A703" s="882"/>
      <c r="B703" s="858"/>
      <c r="C703" s="316">
        <v>2319</v>
      </c>
      <c r="D703" s="856"/>
      <c r="E703" s="222">
        <v>29398</v>
      </c>
      <c r="F703" s="227">
        <v>29398.75</v>
      </c>
      <c r="G703" s="224">
        <f t="shared" si="10"/>
        <v>100.00255119395877</v>
      </c>
    </row>
    <row r="704" spans="1:7">
      <c r="A704" s="882"/>
      <c r="B704" s="858"/>
      <c r="C704" s="220">
        <v>4010</v>
      </c>
      <c r="D704" s="248" t="s">
        <v>222</v>
      </c>
      <c r="E704" s="222">
        <v>32624</v>
      </c>
      <c r="F704" s="227">
        <v>18819.04</v>
      </c>
      <c r="G704" s="224">
        <f t="shared" si="10"/>
        <v>57.684649337910741</v>
      </c>
    </row>
    <row r="705" spans="1:7">
      <c r="A705" s="882"/>
      <c r="B705" s="858"/>
      <c r="C705" s="220">
        <v>4110</v>
      </c>
      <c r="D705" s="248" t="s">
        <v>224</v>
      </c>
      <c r="E705" s="222">
        <v>6376</v>
      </c>
      <c r="F705" s="227">
        <v>3377.19</v>
      </c>
      <c r="G705" s="224">
        <f t="shared" si="10"/>
        <v>52.967220828105397</v>
      </c>
    </row>
    <row r="706" spans="1:7">
      <c r="A706" s="882"/>
      <c r="B706" s="858"/>
      <c r="C706" s="220">
        <v>4120</v>
      </c>
      <c r="D706" s="248" t="s">
        <v>276</v>
      </c>
      <c r="E706" s="222">
        <v>1035</v>
      </c>
      <c r="F706" s="227">
        <v>547.92999999999995</v>
      </c>
      <c r="G706" s="224">
        <f t="shared" si="10"/>
        <v>52.940096618357479</v>
      </c>
    </row>
    <row r="707" spans="1:7">
      <c r="A707" s="882"/>
      <c r="B707" s="858"/>
      <c r="C707" s="220">
        <v>4170</v>
      </c>
      <c r="D707" s="221" t="s">
        <v>226</v>
      </c>
      <c r="E707" s="222">
        <v>25000</v>
      </c>
      <c r="F707" s="227">
        <v>10000</v>
      </c>
      <c r="G707" s="224">
        <f t="shared" si="10"/>
        <v>40</v>
      </c>
    </row>
    <row r="708" spans="1:7">
      <c r="A708" s="882"/>
      <c r="B708" s="858"/>
      <c r="C708" s="220">
        <v>4210</v>
      </c>
      <c r="D708" s="248" t="s">
        <v>227</v>
      </c>
      <c r="E708" s="222">
        <v>66788</v>
      </c>
      <c r="F708" s="227">
        <v>42422.19</v>
      </c>
      <c r="G708" s="224">
        <f t="shared" si="10"/>
        <v>63.517682817272565</v>
      </c>
    </row>
    <row r="709" spans="1:7">
      <c r="A709" s="882"/>
      <c r="B709" s="858"/>
      <c r="C709" s="220">
        <v>4260</v>
      </c>
      <c r="D709" s="248" t="s">
        <v>228</v>
      </c>
      <c r="E709" s="222">
        <v>7917</v>
      </c>
      <c r="F709" s="227">
        <v>3150.34</v>
      </c>
      <c r="G709" s="224">
        <f t="shared" si="10"/>
        <v>39.792092964506757</v>
      </c>
    </row>
    <row r="710" spans="1:7">
      <c r="A710" s="882"/>
      <c r="B710" s="858"/>
      <c r="C710" s="316">
        <v>4270</v>
      </c>
      <c r="D710" s="248" t="s">
        <v>229</v>
      </c>
      <c r="E710" s="222">
        <v>1448</v>
      </c>
      <c r="F710" s="227">
        <v>1447.2</v>
      </c>
      <c r="G710" s="224">
        <f t="shared" si="10"/>
        <v>99.944751381215468</v>
      </c>
    </row>
    <row r="711" spans="1:7">
      <c r="A711" s="882"/>
      <c r="B711" s="858"/>
      <c r="C711" s="220">
        <v>4300</v>
      </c>
      <c r="D711" s="248" t="s">
        <v>216</v>
      </c>
      <c r="E711" s="222">
        <v>6800</v>
      </c>
      <c r="F711" s="227">
        <v>2470.0300000000002</v>
      </c>
      <c r="G711" s="224">
        <f t="shared" si="10"/>
        <v>36.323970588235298</v>
      </c>
    </row>
    <row r="712" spans="1:7">
      <c r="A712" s="882"/>
      <c r="B712" s="858"/>
      <c r="C712" s="220">
        <v>4370</v>
      </c>
      <c r="D712" s="221" t="s">
        <v>233</v>
      </c>
      <c r="E712" s="222">
        <v>2400</v>
      </c>
      <c r="F712" s="227">
        <v>850.37</v>
      </c>
      <c r="G712" s="224">
        <f t="shared" si="10"/>
        <v>35.432083333333331</v>
      </c>
    </row>
    <row r="713" spans="1:7">
      <c r="A713" s="882"/>
      <c r="B713" s="858"/>
      <c r="C713" s="316">
        <v>4410</v>
      </c>
      <c r="D713" s="248" t="s">
        <v>285</v>
      </c>
      <c r="E713" s="222">
        <v>1000</v>
      </c>
      <c r="F713" s="227">
        <v>71.48</v>
      </c>
      <c r="G713" s="224">
        <f t="shared" si="10"/>
        <v>7.1479999999999997</v>
      </c>
    </row>
    <row r="714" spans="1:7">
      <c r="A714" s="882"/>
      <c r="B714" s="858"/>
      <c r="C714" s="316">
        <v>4700</v>
      </c>
      <c r="D714" s="221" t="s">
        <v>239</v>
      </c>
      <c r="E714" s="222">
        <v>1600</v>
      </c>
      <c r="F714" s="227">
        <v>0</v>
      </c>
      <c r="G714" s="224">
        <f t="shared" si="10"/>
        <v>0</v>
      </c>
    </row>
    <row r="715" spans="1:7">
      <c r="A715" s="883"/>
      <c r="B715" s="859"/>
      <c r="C715" s="220">
        <v>4740</v>
      </c>
      <c r="D715" s="221" t="s">
        <v>240</v>
      </c>
      <c r="E715" s="222">
        <v>200</v>
      </c>
      <c r="F715" s="227">
        <v>77.400000000000006</v>
      </c>
      <c r="G715" s="224">
        <f t="shared" si="10"/>
        <v>38.700000000000003</v>
      </c>
    </row>
    <row r="716" spans="1:7">
      <c r="A716" s="210">
        <v>854</v>
      </c>
      <c r="B716" s="210"/>
      <c r="C716" s="210"/>
      <c r="D716" s="251" t="s">
        <v>111</v>
      </c>
      <c r="E716" s="212">
        <f>E717+E741+E763+E799+E792+E822+E797</f>
        <v>3647976</v>
      </c>
      <c r="F716" s="228">
        <f>F717+F741+F763+F822+F799+F792+F797</f>
        <v>1844682.4</v>
      </c>
      <c r="G716" s="214">
        <f t="shared" si="10"/>
        <v>50.567284433888823</v>
      </c>
    </row>
    <row r="717" spans="1:7" ht="21.75">
      <c r="A717" s="754"/>
      <c r="B717" s="226">
        <v>85406</v>
      </c>
      <c r="C717" s="226"/>
      <c r="D717" s="256" t="s">
        <v>112</v>
      </c>
      <c r="E717" s="217">
        <f>E718+E739</f>
        <v>656421</v>
      </c>
      <c r="F717" s="229">
        <f>F718+F739</f>
        <v>333879.30000000005</v>
      </c>
      <c r="G717" s="219">
        <f t="shared" si="10"/>
        <v>50.863592115425931</v>
      </c>
    </row>
    <row r="718" spans="1:7">
      <c r="A718" s="755"/>
      <c r="B718" s="857"/>
      <c r="C718" s="319"/>
      <c r="D718" s="354" t="s">
        <v>286</v>
      </c>
      <c r="E718" s="244">
        <f>SUM(E719:E738)</f>
        <v>652534</v>
      </c>
      <c r="F718" s="245">
        <f>SUM(F719:F738)</f>
        <v>333879.30000000005</v>
      </c>
      <c r="G718" s="353">
        <f t="shared" si="10"/>
        <v>51.166575228263973</v>
      </c>
    </row>
    <row r="719" spans="1:7">
      <c r="A719" s="755"/>
      <c r="B719" s="858"/>
      <c r="C719" s="195">
        <v>3020</v>
      </c>
      <c r="D719" s="221" t="s">
        <v>221</v>
      </c>
      <c r="E719" s="222">
        <v>1104</v>
      </c>
      <c r="F719" s="227">
        <v>0</v>
      </c>
      <c r="G719" s="224">
        <f t="shared" si="10"/>
        <v>0</v>
      </c>
    </row>
    <row r="720" spans="1:7">
      <c r="A720" s="755"/>
      <c r="B720" s="858"/>
      <c r="C720" s="220">
        <v>4010</v>
      </c>
      <c r="D720" s="248" t="s">
        <v>222</v>
      </c>
      <c r="E720" s="222">
        <v>436544</v>
      </c>
      <c r="F720" s="227">
        <v>208833.61</v>
      </c>
      <c r="G720" s="224">
        <f t="shared" si="10"/>
        <v>47.837929280897228</v>
      </c>
    </row>
    <row r="721" spans="1:7">
      <c r="A721" s="755"/>
      <c r="B721" s="858"/>
      <c r="C721" s="220">
        <v>4040</v>
      </c>
      <c r="D721" s="248" t="s">
        <v>223</v>
      </c>
      <c r="E721" s="222">
        <v>29483</v>
      </c>
      <c r="F721" s="227">
        <v>29482.95</v>
      </c>
      <c r="G721" s="224">
        <f t="shared" si="10"/>
        <v>99.999830410745176</v>
      </c>
    </row>
    <row r="722" spans="1:7">
      <c r="A722" s="755"/>
      <c r="B722" s="858"/>
      <c r="C722" s="220">
        <v>4110</v>
      </c>
      <c r="D722" s="248" t="s">
        <v>224</v>
      </c>
      <c r="E722" s="222">
        <v>75594</v>
      </c>
      <c r="F722" s="227">
        <v>33250.400000000001</v>
      </c>
      <c r="G722" s="224">
        <f t="shared" si="10"/>
        <v>43.985501494827631</v>
      </c>
    </row>
    <row r="723" spans="1:7">
      <c r="A723" s="755"/>
      <c r="B723" s="858"/>
      <c r="C723" s="220">
        <v>4120</v>
      </c>
      <c r="D723" s="248" t="s">
        <v>276</v>
      </c>
      <c r="E723" s="222">
        <v>12000</v>
      </c>
      <c r="F723" s="227">
        <v>5096.88</v>
      </c>
      <c r="G723" s="224">
        <f t="shared" si="10"/>
        <v>42.473999999999997</v>
      </c>
    </row>
    <row r="724" spans="1:7">
      <c r="A724" s="755"/>
      <c r="B724" s="858"/>
      <c r="C724" s="220">
        <v>4170</v>
      </c>
      <c r="D724" s="221" t="s">
        <v>226</v>
      </c>
      <c r="E724" s="222">
        <v>10741</v>
      </c>
      <c r="F724" s="227">
        <v>3633.86</v>
      </c>
      <c r="G724" s="224">
        <f t="shared" si="10"/>
        <v>33.831673028582067</v>
      </c>
    </row>
    <row r="725" spans="1:7">
      <c r="A725" s="755"/>
      <c r="B725" s="858"/>
      <c r="C725" s="220">
        <v>4210</v>
      </c>
      <c r="D725" s="248" t="s">
        <v>227</v>
      </c>
      <c r="E725" s="222">
        <v>9241</v>
      </c>
      <c r="F725" s="227">
        <v>5323.03</v>
      </c>
      <c r="G725" s="224">
        <f t="shared" si="10"/>
        <v>57.602315766691916</v>
      </c>
    </row>
    <row r="726" spans="1:7">
      <c r="A726" s="755"/>
      <c r="B726" s="858"/>
      <c r="C726" s="220">
        <v>4240</v>
      </c>
      <c r="D726" s="248" t="s">
        <v>270</v>
      </c>
      <c r="E726" s="222">
        <v>1463</v>
      </c>
      <c r="F726" s="227">
        <v>318.42</v>
      </c>
      <c r="G726" s="224">
        <f t="shared" si="10"/>
        <v>21.764866712235133</v>
      </c>
    </row>
    <row r="727" spans="1:7">
      <c r="A727" s="755"/>
      <c r="B727" s="858"/>
      <c r="C727" s="220">
        <v>4260</v>
      </c>
      <c r="D727" s="248" t="s">
        <v>228</v>
      </c>
      <c r="E727" s="222">
        <v>19942</v>
      </c>
      <c r="F727" s="227">
        <v>10113.15</v>
      </c>
      <c r="G727" s="224">
        <f t="shared" si="10"/>
        <v>50.712817169792395</v>
      </c>
    </row>
    <row r="728" spans="1:7">
      <c r="A728" s="755"/>
      <c r="B728" s="858"/>
      <c r="C728" s="220">
        <v>4270</v>
      </c>
      <c r="D728" s="248" t="s">
        <v>229</v>
      </c>
      <c r="E728" s="222">
        <v>3546</v>
      </c>
      <c r="F728" s="227">
        <v>1606.4</v>
      </c>
      <c r="G728" s="224">
        <f t="shared" si="10"/>
        <v>45.301748448956573</v>
      </c>
    </row>
    <row r="729" spans="1:7">
      <c r="A729" s="755"/>
      <c r="B729" s="858"/>
      <c r="C729" s="220">
        <v>4280</v>
      </c>
      <c r="D729" s="221" t="s">
        <v>230</v>
      </c>
      <c r="E729" s="222">
        <v>205</v>
      </c>
      <c r="F729" s="227">
        <v>114</v>
      </c>
      <c r="G729" s="224">
        <f t="shared" si="10"/>
        <v>55.609756097560975</v>
      </c>
    </row>
    <row r="730" spans="1:7">
      <c r="A730" s="755"/>
      <c r="B730" s="858"/>
      <c r="C730" s="220">
        <v>4300</v>
      </c>
      <c r="D730" s="248" t="s">
        <v>216</v>
      </c>
      <c r="E730" s="222">
        <v>7827</v>
      </c>
      <c r="F730" s="227">
        <v>4506.99</v>
      </c>
      <c r="G730" s="224">
        <f t="shared" si="10"/>
        <v>57.582598696818707</v>
      </c>
    </row>
    <row r="731" spans="1:7">
      <c r="A731" s="755"/>
      <c r="B731" s="858"/>
      <c r="C731" s="220">
        <v>4350</v>
      </c>
      <c r="D731" s="221" t="s">
        <v>231</v>
      </c>
      <c r="E731" s="222">
        <v>735</v>
      </c>
      <c r="F731" s="227">
        <v>224.04</v>
      </c>
      <c r="G731" s="224">
        <f t="shared" si="10"/>
        <v>30.481632653061226</v>
      </c>
    </row>
    <row r="732" spans="1:7">
      <c r="A732" s="755"/>
      <c r="B732" s="858"/>
      <c r="C732" s="220">
        <v>4360</v>
      </c>
      <c r="D732" s="221" t="s">
        <v>232</v>
      </c>
      <c r="E732" s="222">
        <v>1125</v>
      </c>
      <c r="F732" s="227">
        <v>329.59</v>
      </c>
      <c r="G732" s="224">
        <f t="shared" si="10"/>
        <v>29.296888888888891</v>
      </c>
    </row>
    <row r="733" spans="1:7">
      <c r="A733" s="755"/>
      <c r="B733" s="858"/>
      <c r="C733" s="220">
        <v>4370</v>
      </c>
      <c r="D733" s="221" t="s">
        <v>233</v>
      </c>
      <c r="E733" s="222">
        <v>2864</v>
      </c>
      <c r="F733" s="227">
        <v>1297.9100000000001</v>
      </c>
      <c r="G733" s="224">
        <f t="shared" si="10"/>
        <v>45.318086592178773</v>
      </c>
    </row>
    <row r="734" spans="1:7">
      <c r="A734" s="755"/>
      <c r="B734" s="858"/>
      <c r="C734" s="220">
        <v>4410</v>
      </c>
      <c r="D734" s="248" t="s">
        <v>234</v>
      </c>
      <c r="E734" s="222">
        <v>914</v>
      </c>
      <c r="F734" s="227">
        <v>136.76</v>
      </c>
      <c r="G734" s="224">
        <f t="shared" si="10"/>
        <v>14.962800875273523</v>
      </c>
    </row>
    <row r="735" spans="1:7">
      <c r="A735" s="755"/>
      <c r="B735" s="858"/>
      <c r="C735" s="220">
        <v>4440</v>
      </c>
      <c r="D735" s="248" t="s">
        <v>236</v>
      </c>
      <c r="E735" s="222">
        <v>35276</v>
      </c>
      <c r="F735" s="227">
        <v>28501</v>
      </c>
      <c r="G735" s="224">
        <f t="shared" si="10"/>
        <v>80.794307744642254</v>
      </c>
    </row>
    <row r="736" spans="1:7">
      <c r="A736" s="755"/>
      <c r="B736" s="858"/>
      <c r="C736" s="220">
        <v>4700</v>
      </c>
      <c r="D736" s="221" t="s">
        <v>239</v>
      </c>
      <c r="E736" s="222">
        <v>512</v>
      </c>
      <c r="F736" s="227">
        <v>250</v>
      </c>
      <c r="G736" s="224">
        <f t="shared" si="10"/>
        <v>48.828125</v>
      </c>
    </row>
    <row r="737" spans="1:7">
      <c r="A737" s="755"/>
      <c r="B737" s="858"/>
      <c r="C737" s="220">
        <v>4740</v>
      </c>
      <c r="D737" s="221" t="s">
        <v>240</v>
      </c>
      <c r="E737" s="222">
        <v>1901</v>
      </c>
      <c r="F737" s="227">
        <v>24.67</v>
      </c>
      <c r="G737" s="224">
        <f t="shared" si="10"/>
        <v>1.2977380326144135</v>
      </c>
    </row>
    <row r="738" spans="1:7">
      <c r="A738" s="755"/>
      <c r="B738" s="858"/>
      <c r="C738" s="220">
        <v>4750</v>
      </c>
      <c r="D738" s="221" t="s">
        <v>241</v>
      </c>
      <c r="E738" s="222">
        <v>1517</v>
      </c>
      <c r="F738" s="227">
        <v>835.64</v>
      </c>
      <c r="G738" s="224">
        <f t="shared" si="10"/>
        <v>55.08503625576796</v>
      </c>
    </row>
    <row r="739" spans="1:7">
      <c r="A739" s="755"/>
      <c r="B739" s="858"/>
      <c r="C739" s="316"/>
      <c r="D739" s="243" t="s">
        <v>307</v>
      </c>
      <c r="E739" s="244">
        <v>3887</v>
      </c>
      <c r="F739" s="350">
        <f>F740</f>
        <v>0</v>
      </c>
      <c r="G739" s="351">
        <f t="shared" si="10"/>
        <v>0</v>
      </c>
    </row>
    <row r="740" spans="1:7">
      <c r="A740" s="755"/>
      <c r="B740" s="859"/>
      <c r="C740" s="316">
        <v>4010</v>
      </c>
      <c r="D740" s="248" t="s">
        <v>222</v>
      </c>
      <c r="E740" s="222">
        <v>3887</v>
      </c>
      <c r="F740" s="227">
        <v>0</v>
      </c>
      <c r="G740" s="224">
        <v>0</v>
      </c>
    </row>
    <row r="741" spans="1:7">
      <c r="A741" s="755"/>
      <c r="B741" s="226">
        <v>85407</v>
      </c>
      <c r="C741" s="226"/>
      <c r="D741" s="249" t="s">
        <v>60</v>
      </c>
      <c r="E741" s="217">
        <f>E742+E761</f>
        <v>434578</v>
      </c>
      <c r="F741" s="229">
        <f>F742+F761</f>
        <v>208771.02000000002</v>
      </c>
      <c r="G741" s="219">
        <f t="shared" si="10"/>
        <v>48.03994219679781</v>
      </c>
    </row>
    <row r="742" spans="1:7">
      <c r="A742" s="755"/>
      <c r="B742" s="857"/>
      <c r="C742" s="319"/>
      <c r="D742" s="247" t="s">
        <v>287</v>
      </c>
      <c r="E742" s="244">
        <f>SUM(E743:E760)</f>
        <v>432728</v>
      </c>
      <c r="F742" s="336">
        <f>SUM(F743:F760)</f>
        <v>208771.02000000002</v>
      </c>
      <c r="G742" s="353">
        <f t="shared" si="10"/>
        <v>48.245322696936647</v>
      </c>
    </row>
    <row r="743" spans="1:7">
      <c r="A743" s="755"/>
      <c r="B743" s="858"/>
      <c r="C743" s="195">
        <v>3020</v>
      </c>
      <c r="D743" s="221" t="s">
        <v>221</v>
      </c>
      <c r="E743" s="222">
        <v>800</v>
      </c>
      <c r="F743" s="227">
        <v>731.75</v>
      </c>
      <c r="G743" s="224">
        <f t="shared" si="10"/>
        <v>91.46875</v>
      </c>
    </row>
    <row r="744" spans="1:7">
      <c r="A744" s="755"/>
      <c r="B744" s="858"/>
      <c r="C744" s="220">
        <v>4010</v>
      </c>
      <c r="D744" s="248" t="s">
        <v>222</v>
      </c>
      <c r="E744" s="222">
        <v>195026</v>
      </c>
      <c r="F744" s="227">
        <v>105138.73</v>
      </c>
      <c r="G744" s="224">
        <f t="shared" si="10"/>
        <v>53.910109421307929</v>
      </c>
    </row>
    <row r="745" spans="1:7">
      <c r="A745" s="755"/>
      <c r="B745" s="858"/>
      <c r="C745" s="220">
        <v>4040</v>
      </c>
      <c r="D745" s="248" t="s">
        <v>223</v>
      </c>
      <c r="E745" s="222">
        <v>15284</v>
      </c>
      <c r="F745" s="227">
        <v>15284.28</v>
      </c>
      <c r="G745" s="224">
        <f t="shared" si="10"/>
        <v>100.00183198115677</v>
      </c>
    </row>
    <row r="746" spans="1:7">
      <c r="A746" s="755"/>
      <c r="B746" s="858"/>
      <c r="C746" s="220">
        <v>4110</v>
      </c>
      <c r="D746" s="248" t="s">
        <v>224</v>
      </c>
      <c r="E746" s="222">
        <v>31551</v>
      </c>
      <c r="F746" s="227">
        <v>16754.43</v>
      </c>
      <c r="G746" s="224">
        <f t="shared" si="10"/>
        <v>53.102690881430064</v>
      </c>
    </row>
    <row r="747" spans="1:7">
      <c r="A747" s="755"/>
      <c r="B747" s="858"/>
      <c r="C747" s="220">
        <v>4120</v>
      </c>
      <c r="D747" s="248" t="s">
        <v>276</v>
      </c>
      <c r="E747" s="222">
        <v>6421</v>
      </c>
      <c r="F747" s="227">
        <v>2645.22</v>
      </c>
      <c r="G747" s="224">
        <f t="shared" si="10"/>
        <v>41.196386855629967</v>
      </c>
    </row>
    <row r="748" spans="1:7">
      <c r="A748" s="755"/>
      <c r="B748" s="858"/>
      <c r="C748" s="220">
        <v>4170</v>
      </c>
      <c r="D748" s="221" t="s">
        <v>226</v>
      </c>
      <c r="E748" s="222">
        <v>99843</v>
      </c>
      <c r="F748" s="227">
        <v>35068</v>
      </c>
      <c r="G748" s="224">
        <f t="shared" si="10"/>
        <v>35.123143335036005</v>
      </c>
    </row>
    <row r="749" spans="1:7">
      <c r="A749" s="755"/>
      <c r="B749" s="858"/>
      <c r="C749" s="220">
        <v>4210</v>
      </c>
      <c r="D749" s="248" t="s">
        <v>227</v>
      </c>
      <c r="E749" s="222">
        <v>39255</v>
      </c>
      <c r="F749" s="227">
        <v>3336.22</v>
      </c>
      <c r="G749" s="224">
        <f t="shared" si="10"/>
        <v>8.4988409119857344</v>
      </c>
    </row>
    <row r="750" spans="1:7">
      <c r="A750" s="755"/>
      <c r="B750" s="858"/>
      <c r="C750" s="220">
        <v>4260</v>
      </c>
      <c r="D750" s="248" t="s">
        <v>228</v>
      </c>
      <c r="E750" s="222">
        <v>15183</v>
      </c>
      <c r="F750" s="227">
        <v>7354.49</v>
      </c>
      <c r="G750" s="224">
        <f t="shared" si="10"/>
        <v>48.438977804123034</v>
      </c>
    </row>
    <row r="751" spans="1:7">
      <c r="A751" s="755"/>
      <c r="B751" s="858"/>
      <c r="C751" s="316">
        <v>4270</v>
      </c>
      <c r="D751" s="248" t="s">
        <v>229</v>
      </c>
      <c r="E751" s="222">
        <v>2400</v>
      </c>
      <c r="F751" s="227">
        <v>908.8</v>
      </c>
      <c r="G751" s="224">
        <f t="shared" si="10"/>
        <v>37.866666666666667</v>
      </c>
    </row>
    <row r="752" spans="1:7">
      <c r="A752" s="755"/>
      <c r="B752" s="858"/>
      <c r="C752" s="220">
        <v>4280</v>
      </c>
      <c r="D752" s="248" t="s">
        <v>230</v>
      </c>
      <c r="E752" s="222">
        <v>470</v>
      </c>
      <c r="F752" s="227">
        <v>0</v>
      </c>
      <c r="G752" s="224">
        <f t="shared" si="10"/>
        <v>0</v>
      </c>
    </row>
    <row r="753" spans="1:7">
      <c r="A753" s="755"/>
      <c r="B753" s="858"/>
      <c r="C753" s="220">
        <v>4300</v>
      </c>
      <c r="D753" s="248" t="s">
        <v>216</v>
      </c>
      <c r="E753" s="222">
        <v>5141</v>
      </c>
      <c r="F753" s="227">
        <v>4817.17</v>
      </c>
      <c r="G753" s="224">
        <f t="shared" si="10"/>
        <v>93.701030927835049</v>
      </c>
    </row>
    <row r="754" spans="1:7">
      <c r="A754" s="755"/>
      <c r="B754" s="858"/>
      <c r="C754" s="220">
        <v>4350</v>
      </c>
      <c r="D754" s="221" t="s">
        <v>231</v>
      </c>
      <c r="E754" s="222">
        <v>1482</v>
      </c>
      <c r="F754" s="227">
        <v>712.38</v>
      </c>
      <c r="G754" s="224">
        <f t="shared" si="10"/>
        <v>48.068825910931174</v>
      </c>
    </row>
    <row r="755" spans="1:7">
      <c r="A755" s="755"/>
      <c r="B755" s="858"/>
      <c r="C755" s="220">
        <v>4370</v>
      </c>
      <c r="D755" s="221" t="s">
        <v>233</v>
      </c>
      <c r="E755" s="222">
        <v>1228</v>
      </c>
      <c r="F755" s="227">
        <v>597.16</v>
      </c>
      <c r="G755" s="224">
        <f t="shared" si="10"/>
        <v>48.628664495114009</v>
      </c>
    </row>
    <row r="756" spans="1:7">
      <c r="A756" s="755"/>
      <c r="B756" s="858"/>
      <c r="C756" s="220">
        <v>4410</v>
      </c>
      <c r="D756" s="248" t="s">
        <v>234</v>
      </c>
      <c r="E756" s="222">
        <v>2946</v>
      </c>
      <c r="F756" s="227">
        <v>1071.4100000000001</v>
      </c>
      <c r="G756" s="224">
        <f t="shared" si="10"/>
        <v>36.368295994568911</v>
      </c>
    </row>
    <row r="757" spans="1:7">
      <c r="A757" s="755"/>
      <c r="B757" s="858"/>
      <c r="C757" s="220">
        <v>4440</v>
      </c>
      <c r="D757" s="248" t="s">
        <v>236</v>
      </c>
      <c r="E757" s="222">
        <v>13798</v>
      </c>
      <c r="F757" s="227">
        <v>13798</v>
      </c>
      <c r="G757" s="224">
        <f t="shared" si="10"/>
        <v>100</v>
      </c>
    </row>
    <row r="758" spans="1:7">
      <c r="A758" s="755"/>
      <c r="B758" s="858"/>
      <c r="C758" s="220">
        <v>4700</v>
      </c>
      <c r="D758" s="221" t="s">
        <v>239</v>
      </c>
      <c r="E758" s="222">
        <v>500</v>
      </c>
      <c r="F758" s="227">
        <v>0</v>
      </c>
      <c r="G758" s="224">
        <f t="shared" si="10"/>
        <v>0</v>
      </c>
    </row>
    <row r="759" spans="1:7">
      <c r="A759" s="755"/>
      <c r="B759" s="858"/>
      <c r="C759" s="220">
        <v>4740</v>
      </c>
      <c r="D759" s="221" t="s">
        <v>240</v>
      </c>
      <c r="E759" s="222">
        <v>400</v>
      </c>
      <c r="F759" s="227">
        <v>6</v>
      </c>
      <c r="G759" s="224">
        <f t="shared" si="10"/>
        <v>1.5</v>
      </c>
    </row>
    <row r="760" spans="1:7">
      <c r="A760" s="755"/>
      <c r="B760" s="858"/>
      <c r="C760" s="220">
        <v>4750</v>
      </c>
      <c r="D760" s="221" t="s">
        <v>241</v>
      </c>
      <c r="E760" s="222">
        <v>1000</v>
      </c>
      <c r="F760" s="227">
        <v>546.98</v>
      </c>
      <c r="G760" s="224">
        <f t="shared" si="10"/>
        <v>54.698</v>
      </c>
    </row>
    <row r="761" spans="1:7">
      <c r="A761" s="755"/>
      <c r="B761" s="858"/>
      <c r="C761" s="316"/>
      <c r="D761" s="243" t="s">
        <v>307</v>
      </c>
      <c r="E761" s="244">
        <v>1850</v>
      </c>
      <c r="F761" s="245">
        <v>0</v>
      </c>
      <c r="G761" s="353">
        <f t="shared" si="10"/>
        <v>0</v>
      </c>
    </row>
    <row r="762" spans="1:7">
      <c r="A762" s="755"/>
      <c r="B762" s="859"/>
      <c r="C762" s="316">
        <v>4010</v>
      </c>
      <c r="D762" s="248" t="s">
        <v>222</v>
      </c>
      <c r="E762" s="222">
        <v>1850</v>
      </c>
      <c r="F762" s="227">
        <v>0</v>
      </c>
      <c r="G762" s="224">
        <v>0</v>
      </c>
    </row>
    <row r="763" spans="1:7">
      <c r="A763" s="755"/>
      <c r="B763" s="226">
        <v>85410</v>
      </c>
      <c r="C763" s="226"/>
      <c r="D763" s="249" t="s">
        <v>61</v>
      </c>
      <c r="E763" s="217">
        <f>E764+E777+E790</f>
        <v>527787</v>
      </c>
      <c r="F763" s="229">
        <f>F764+F777</f>
        <v>334023.28999999992</v>
      </c>
      <c r="G763" s="219">
        <f t="shared" si="10"/>
        <v>63.287517502325734</v>
      </c>
    </row>
    <row r="764" spans="1:7">
      <c r="A764" s="755"/>
      <c r="B764" s="875"/>
      <c r="C764" s="242"/>
      <c r="D764" s="247" t="s">
        <v>304</v>
      </c>
      <c r="E764" s="244">
        <f>+SUM(E765:E776)</f>
        <v>249871</v>
      </c>
      <c r="F764" s="245">
        <f>+SUM(F765:F776)</f>
        <v>155017.19999999998</v>
      </c>
      <c r="G764" s="219">
        <f t="shared" ref="G764:G814" si="11">F764*100/E764</f>
        <v>62.038892068307241</v>
      </c>
    </row>
    <row r="765" spans="1:7">
      <c r="A765" s="755"/>
      <c r="B765" s="876"/>
      <c r="C765" s="195">
        <v>3020</v>
      </c>
      <c r="D765" s="221" t="s">
        <v>221</v>
      </c>
      <c r="E765" s="222">
        <v>340</v>
      </c>
      <c r="F765" s="227">
        <v>0</v>
      </c>
      <c r="G765" s="224">
        <f t="shared" si="11"/>
        <v>0</v>
      </c>
    </row>
    <row r="766" spans="1:7">
      <c r="A766" s="755"/>
      <c r="B766" s="876"/>
      <c r="C766" s="220">
        <v>4010</v>
      </c>
      <c r="D766" s="248" t="s">
        <v>222</v>
      </c>
      <c r="E766" s="222">
        <v>95559</v>
      </c>
      <c r="F766" s="227">
        <v>59876.43</v>
      </c>
      <c r="G766" s="224">
        <f t="shared" si="11"/>
        <v>62.659121589803156</v>
      </c>
    </row>
    <row r="767" spans="1:7">
      <c r="A767" s="755"/>
      <c r="B767" s="876"/>
      <c r="C767" s="220">
        <v>4040</v>
      </c>
      <c r="D767" s="248" t="s">
        <v>223</v>
      </c>
      <c r="E767" s="222">
        <v>7064</v>
      </c>
      <c r="F767" s="227">
        <v>7064.26</v>
      </c>
      <c r="G767" s="224">
        <f t="shared" si="11"/>
        <v>100.00368063420159</v>
      </c>
    </row>
    <row r="768" spans="1:7">
      <c r="A768" s="755"/>
      <c r="B768" s="876"/>
      <c r="C768" s="220">
        <v>4110</v>
      </c>
      <c r="D768" s="248" t="s">
        <v>224</v>
      </c>
      <c r="E768" s="222">
        <v>14324</v>
      </c>
      <c r="F768" s="227">
        <v>8552.9500000000007</v>
      </c>
      <c r="G768" s="224">
        <f t="shared" si="11"/>
        <v>59.710625523596768</v>
      </c>
    </row>
    <row r="769" spans="1:7">
      <c r="A769" s="755"/>
      <c r="B769" s="876"/>
      <c r="C769" s="220">
        <v>4120</v>
      </c>
      <c r="D769" s="248" t="s">
        <v>276</v>
      </c>
      <c r="E769" s="222">
        <v>2268</v>
      </c>
      <c r="F769" s="227">
        <v>1331.93</v>
      </c>
      <c r="G769" s="224">
        <f t="shared" si="11"/>
        <v>58.727072310405646</v>
      </c>
    </row>
    <row r="770" spans="1:7">
      <c r="A770" s="755"/>
      <c r="B770" s="876"/>
      <c r="C770" s="220">
        <v>4210</v>
      </c>
      <c r="D770" s="248" t="s">
        <v>227</v>
      </c>
      <c r="E770" s="222">
        <v>25897</v>
      </c>
      <c r="F770" s="227">
        <v>25840.69</v>
      </c>
      <c r="G770" s="224">
        <f t="shared" si="11"/>
        <v>99.782561686681859</v>
      </c>
    </row>
    <row r="771" spans="1:7">
      <c r="A771" s="755"/>
      <c r="B771" s="876"/>
      <c r="C771" s="220">
        <v>4220</v>
      </c>
      <c r="D771" s="248" t="s">
        <v>293</v>
      </c>
      <c r="E771" s="222">
        <v>67473</v>
      </c>
      <c r="F771" s="227">
        <v>23842</v>
      </c>
      <c r="G771" s="224">
        <f t="shared" si="11"/>
        <v>35.335615727772591</v>
      </c>
    </row>
    <row r="772" spans="1:7">
      <c r="A772" s="755"/>
      <c r="B772" s="876"/>
      <c r="C772" s="220">
        <v>4260</v>
      </c>
      <c r="D772" s="248" t="s">
        <v>228</v>
      </c>
      <c r="E772" s="222">
        <v>16982</v>
      </c>
      <c r="F772" s="227">
        <v>12803.91</v>
      </c>
      <c r="G772" s="224">
        <f t="shared" si="11"/>
        <v>75.396949711459186</v>
      </c>
    </row>
    <row r="773" spans="1:7">
      <c r="A773" s="755"/>
      <c r="B773" s="876"/>
      <c r="C773" s="316">
        <v>4270</v>
      </c>
      <c r="D773" s="248" t="s">
        <v>229</v>
      </c>
      <c r="E773" s="222">
        <v>2989</v>
      </c>
      <c r="F773" s="227">
        <v>2989</v>
      </c>
      <c r="G773" s="224">
        <f t="shared" si="11"/>
        <v>100</v>
      </c>
    </row>
    <row r="774" spans="1:7">
      <c r="A774" s="755"/>
      <c r="B774" s="876"/>
      <c r="C774" s="220">
        <v>4300</v>
      </c>
      <c r="D774" s="248" t="s">
        <v>216</v>
      </c>
      <c r="E774" s="222">
        <v>3411</v>
      </c>
      <c r="F774" s="227">
        <v>2513.37</v>
      </c>
      <c r="G774" s="224">
        <f t="shared" si="11"/>
        <v>73.684256816182938</v>
      </c>
    </row>
    <row r="775" spans="1:7">
      <c r="A775" s="755"/>
      <c r="B775" s="876"/>
      <c r="C775" s="220">
        <v>4440</v>
      </c>
      <c r="D775" s="248" t="s">
        <v>236</v>
      </c>
      <c r="E775" s="222">
        <v>13446</v>
      </c>
      <c r="F775" s="227">
        <v>10085</v>
      </c>
      <c r="G775" s="224">
        <f t="shared" si="11"/>
        <v>75.003718578015764</v>
      </c>
    </row>
    <row r="776" spans="1:7">
      <c r="A776" s="755"/>
      <c r="B776" s="876"/>
      <c r="C776" s="220">
        <v>4530</v>
      </c>
      <c r="D776" s="221" t="s">
        <v>246</v>
      </c>
      <c r="E776" s="222">
        <v>118</v>
      </c>
      <c r="F776" s="227">
        <v>117.66</v>
      </c>
      <c r="G776" s="224">
        <f t="shared" si="11"/>
        <v>99.711864406779668</v>
      </c>
    </row>
    <row r="777" spans="1:7">
      <c r="A777" s="755"/>
      <c r="B777" s="876"/>
      <c r="C777" s="242"/>
      <c r="D777" s="247" t="s">
        <v>305</v>
      </c>
      <c r="E777" s="244">
        <f>+SUM(E778:E789)</f>
        <v>275257</v>
      </c>
      <c r="F777" s="245">
        <f>+SUM(F778:F789)</f>
        <v>179006.08999999997</v>
      </c>
      <c r="G777" s="219">
        <f t="shared" si="11"/>
        <v>65.032347951187418</v>
      </c>
    </row>
    <row r="778" spans="1:7">
      <c r="A778" s="755"/>
      <c r="B778" s="876"/>
      <c r="C778" s="195">
        <v>3020</v>
      </c>
      <c r="D778" s="221" t="s">
        <v>221</v>
      </c>
      <c r="E778" s="222">
        <v>5581</v>
      </c>
      <c r="F778" s="227">
        <v>3522.64</v>
      </c>
      <c r="G778" s="224">
        <f t="shared" si="11"/>
        <v>63.118437555993552</v>
      </c>
    </row>
    <row r="779" spans="1:7">
      <c r="A779" s="755"/>
      <c r="B779" s="876"/>
      <c r="C779" s="220">
        <v>4010</v>
      </c>
      <c r="D779" s="248" t="s">
        <v>222</v>
      </c>
      <c r="E779" s="222">
        <v>154971</v>
      </c>
      <c r="F779" s="227">
        <v>97233.16</v>
      </c>
      <c r="G779" s="224">
        <f t="shared" si="11"/>
        <v>62.742809945086499</v>
      </c>
    </row>
    <row r="780" spans="1:7">
      <c r="A780" s="755"/>
      <c r="B780" s="876"/>
      <c r="C780" s="220">
        <v>4040</v>
      </c>
      <c r="D780" s="248" t="s">
        <v>223</v>
      </c>
      <c r="E780" s="222">
        <v>19513</v>
      </c>
      <c r="F780" s="227">
        <v>17848.78</v>
      </c>
      <c r="G780" s="224">
        <f t="shared" si="11"/>
        <v>91.471224311997133</v>
      </c>
    </row>
    <row r="781" spans="1:7">
      <c r="A781" s="755"/>
      <c r="B781" s="876"/>
      <c r="C781" s="220">
        <v>4110</v>
      </c>
      <c r="D781" s="248" t="s">
        <v>224</v>
      </c>
      <c r="E781" s="222">
        <v>26450</v>
      </c>
      <c r="F781" s="227">
        <v>15354.41</v>
      </c>
      <c r="G781" s="224">
        <f t="shared" si="11"/>
        <v>58.050699432892252</v>
      </c>
    </row>
    <row r="782" spans="1:7">
      <c r="A782" s="755"/>
      <c r="B782" s="876"/>
      <c r="C782" s="220">
        <v>4120</v>
      </c>
      <c r="D782" s="248" t="s">
        <v>276</v>
      </c>
      <c r="E782" s="222">
        <v>4240</v>
      </c>
      <c r="F782" s="227">
        <v>2765.78</v>
      </c>
      <c r="G782" s="224">
        <f t="shared" si="11"/>
        <v>65.23066037735849</v>
      </c>
    </row>
    <row r="783" spans="1:7">
      <c r="A783" s="755"/>
      <c r="B783" s="876"/>
      <c r="C783" s="220">
        <v>4210</v>
      </c>
      <c r="D783" s="248" t="s">
        <v>227</v>
      </c>
      <c r="E783" s="222">
        <v>35785</v>
      </c>
      <c r="F783" s="227">
        <v>23303.51</v>
      </c>
      <c r="G783" s="224">
        <f t="shared" si="11"/>
        <v>65.120888640491827</v>
      </c>
    </row>
    <row r="784" spans="1:7">
      <c r="A784" s="755"/>
      <c r="B784" s="876"/>
      <c r="C784" s="220">
        <v>4260</v>
      </c>
      <c r="D784" s="248" t="s">
        <v>228</v>
      </c>
      <c r="E784" s="222">
        <v>2539</v>
      </c>
      <c r="F784" s="227">
        <v>2539</v>
      </c>
      <c r="G784" s="224">
        <f t="shared" si="11"/>
        <v>100</v>
      </c>
    </row>
    <row r="785" spans="1:7">
      <c r="A785" s="755"/>
      <c r="B785" s="876"/>
      <c r="C785" s="220">
        <v>4300</v>
      </c>
      <c r="D785" s="248" t="s">
        <v>216</v>
      </c>
      <c r="E785" s="222">
        <v>15932</v>
      </c>
      <c r="F785" s="227">
        <v>9743.0499999999993</v>
      </c>
      <c r="G785" s="224">
        <f t="shared" si="11"/>
        <v>61.153966859151389</v>
      </c>
    </row>
    <row r="786" spans="1:7">
      <c r="A786" s="755"/>
      <c r="B786" s="876"/>
      <c r="C786" s="220">
        <v>4370</v>
      </c>
      <c r="D786" s="221" t="s">
        <v>233</v>
      </c>
      <c r="E786" s="222">
        <v>1023</v>
      </c>
      <c r="F786" s="227">
        <v>189.58</v>
      </c>
      <c r="G786" s="224">
        <f t="shared" si="11"/>
        <v>18.531769305962854</v>
      </c>
    </row>
    <row r="787" spans="1:7">
      <c r="A787" s="755"/>
      <c r="B787" s="876"/>
      <c r="C787" s="220">
        <v>4410</v>
      </c>
      <c r="D787" s="248" t="s">
        <v>234</v>
      </c>
      <c r="E787" s="222">
        <v>307</v>
      </c>
      <c r="F787" s="227">
        <v>70</v>
      </c>
      <c r="G787" s="224">
        <f t="shared" si="11"/>
        <v>22.801302931596091</v>
      </c>
    </row>
    <row r="788" spans="1:7">
      <c r="A788" s="755"/>
      <c r="B788" s="876"/>
      <c r="C788" s="220">
        <v>4440</v>
      </c>
      <c r="D788" s="248" t="s">
        <v>236</v>
      </c>
      <c r="E788" s="222">
        <v>7716</v>
      </c>
      <c r="F788" s="227">
        <v>5787</v>
      </c>
      <c r="G788" s="224">
        <f t="shared" si="11"/>
        <v>75</v>
      </c>
    </row>
    <row r="789" spans="1:7">
      <c r="A789" s="755"/>
      <c r="B789" s="876"/>
      <c r="C789" s="316">
        <v>4530</v>
      </c>
      <c r="D789" s="221" t="s">
        <v>246</v>
      </c>
      <c r="E789" s="222">
        <v>1200</v>
      </c>
      <c r="F789" s="227">
        <v>649.17999999999995</v>
      </c>
      <c r="G789" s="224">
        <f t="shared" si="11"/>
        <v>54.098333333333329</v>
      </c>
    </row>
    <row r="790" spans="1:7">
      <c r="A790" s="755"/>
      <c r="B790" s="876"/>
      <c r="C790" s="279"/>
      <c r="D790" s="247" t="s">
        <v>307</v>
      </c>
      <c r="E790" s="244">
        <v>2659</v>
      </c>
      <c r="F790" s="245">
        <v>0</v>
      </c>
      <c r="G790" s="353">
        <f t="shared" si="11"/>
        <v>0</v>
      </c>
    </row>
    <row r="791" spans="1:7">
      <c r="A791" s="755"/>
      <c r="B791" s="877"/>
      <c r="C791" s="316">
        <v>4010</v>
      </c>
      <c r="D791" s="248" t="s">
        <v>222</v>
      </c>
      <c r="E791" s="222">
        <v>2659</v>
      </c>
      <c r="F791" s="227">
        <v>0</v>
      </c>
      <c r="G791" s="224">
        <v>0</v>
      </c>
    </row>
    <row r="792" spans="1:7">
      <c r="A792" s="755"/>
      <c r="B792" s="226">
        <v>85415</v>
      </c>
      <c r="C792" s="215"/>
      <c r="D792" s="249" t="s">
        <v>113</v>
      </c>
      <c r="E792" s="217">
        <f>E793+E795</f>
        <v>9600</v>
      </c>
      <c r="F792" s="229">
        <f>F793+F795</f>
        <v>9600</v>
      </c>
      <c r="G792" s="219">
        <f t="shared" si="11"/>
        <v>100</v>
      </c>
    </row>
    <row r="793" spans="1:7">
      <c r="A793" s="755"/>
      <c r="B793" s="858"/>
      <c r="C793" s="279"/>
      <c r="D793" s="247" t="s">
        <v>306</v>
      </c>
      <c r="E793" s="244">
        <f>E794</f>
        <v>4800</v>
      </c>
      <c r="F793" s="245">
        <f>F794</f>
        <v>4800</v>
      </c>
      <c r="G793" s="219">
        <f t="shared" si="11"/>
        <v>100</v>
      </c>
    </row>
    <row r="794" spans="1:7">
      <c r="A794" s="755"/>
      <c r="B794" s="858"/>
      <c r="C794" s="220">
        <v>3240</v>
      </c>
      <c r="D794" s="248" t="s">
        <v>277</v>
      </c>
      <c r="E794" s="222">
        <v>4800</v>
      </c>
      <c r="F794" s="227">
        <v>4800</v>
      </c>
      <c r="G794" s="224">
        <f t="shared" si="11"/>
        <v>100</v>
      </c>
    </row>
    <row r="795" spans="1:7">
      <c r="A795" s="755"/>
      <c r="B795" s="858"/>
      <c r="C795" s="279"/>
      <c r="D795" s="247" t="s">
        <v>305</v>
      </c>
      <c r="E795" s="244">
        <f>E796</f>
        <v>4800</v>
      </c>
      <c r="F795" s="245">
        <f>F796</f>
        <v>4800</v>
      </c>
      <c r="G795" s="219">
        <f t="shared" si="11"/>
        <v>100</v>
      </c>
    </row>
    <row r="796" spans="1:7">
      <c r="A796" s="755"/>
      <c r="B796" s="858"/>
      <c r="C796" s="220">
        <v>3240</v>
      </c>
      <c r="D796" s="248" t="s">
        <v>277</v>
      </c>
      <c r="E796" s="222">
        <v>4800</v>
      </c>
      <c r="F796" s="227">
        <v>4800</v>
      </c>
      <c r="G796" s="224">
        <f t="shared" si="11"/>
        <v>100</v>
      </c>
    </row>
    <row r="797" spans="1:7">
      <c r="A797" s="755"/>
      <c r="B797" s="326">
        <v>85419</v>
      </c>
      <c r="C797" s="220"/>
      <c r="D797" s="248" t="s">
        <v>182</v>
      </c>
      <c r="E797" s="217">
        <f>E798</f>
        <v>947017</v>
      </c>
      <c r="F797" s="229">
        <f>F798</f>
        <v>384752</v>
      </c>
      <c r="G797" s="219">
        <f t="shared" si="11"/>
        <v>40.627781761045469</v>
      </c>
    </row>
    <row r="798" spans="1:7" ht="22.5">
      <c r="A798" s="755"/>
      <c r="B798" s="234"/>
      <c r="C798" s="220">
        <v>2540</v>
      </c>
      <c r="D798" s="230" t="s">
        <v>273</v>
      </c>
      <c r="E798" s="222">
        <v>947017</v>
      </c>
      <c r="F798" s="227">
        <v>384752</v>
      </c>
      <c r="G798" s="224">
        <f t="shared" si="11"/>
        <v>40.627781761045469</v>
      </c>
    </row>
    <row r="799" spans="1:7">
      <c r="A799" s="755"/>
      <c r="B799" s="226">
        <v>85420</v>
      </c>
      <c r="C799" s="215"/>
      <c r="D799" s="249" t="s">
        <v>308</v>
      </c>
      <c r="E799" s="217">
        <f>E800+E820</f>
        <v>1062354</v>
      </c>
      <c r="F799" s="229">
        <f>F800+F820</f>
        <v>572932.49</v>
      </c>
      <c r="G799" s="219">
        <f t="shared" si="11"/>
        <v>53.930468563209629</v>
      </c>
    </row>
    <row r="800" spans="1:7">
      <c r="A800" s="755"/>
      <c r="B800" s="857"/>
      <c r="C800" s="215"/>
      <c r="D800" s="247" t="s">
        <v>349</v>
      </c>
      <c r="E800" s="244">
        <f>SUM(E801:E819)</f>
        <v>1057272</v>
      </c>
      <c r="F800" s="245">
        <f>SUM(F801:F819)</f>
        <v>572932.49</v>
      </c>
      <c r="G800" s="353">
        <f t="shared" si="11"/>
        <v>54.189696691106924</v>
      </c>
    </row>
    <row r="801" spans="1:7">
      <c r="A801" s="755"/>
      <c r="B801" s="858"/>
      <c r="C801" s="195">
        <v>3020</v>
      </c>
      <c r="D801" s="221" t="s">
        <v>221</v>
      </c>
      <c r="E801" s="222">
        <v>33727</v>
      </c>
      <c r="F801" s="227">
        <v>15958.66</v>
      </c>
      <c r="G801" s="224">
        <f t="shared" si="11"/>
        <v>47.317164289738194</v>
      </c>
    </row>
    <row r="802" spans="1:7">
      <c r="A802" s="755"/>
      <c r="B802" s="858"/>
      <c r="C802" s="220">
        <v>4010</v>
      </c>
      <c r="D802" s="248" t="s">
        <v>222</v>
      </c>
      <c r="E802" s="222">
        <v>558247</v>
      </c>
      <c r="F802" s="227">
        <v>284662.26</v>
      </c>
      <c r="G802" s="224">
        <f t="shared" si="11"/>
        <v>50.992170132575723</v>
      </c>
    </row>
    <row r="803" spans="1:7">
      <c r="A803" s="755"/>
      <c r="B803" s="858"/>
      <c r="C803" s="220">
        <v>4040</v>
      </c>
      <c r="D803" s="248" t="s">
        <v>223</v>
      </c>
      <c r="E803" s="222">
        <v>42046</v>
      </c>
      <c r="F803" s="227">
        <v>42045.89</v>
      </c>
      <c r="G803" s="224">
        <f t="shared" si="11"/>
        <v>99.999738381772346</v>
      </c>
    </row>
    <row r="804" spans="1:7">
      <c r="A804" s="755"/>
      <c r="B804" s="858"/>
      <c r="C804" s="220">
        <v>4110</v>
      </c>
      <c r="D804" s="248" t="s">
        <v>224</v>
      </c>
      <c r="E804" s="222">
        <v>89755</v>
      </c>
      <c r="F804" s="227">
        <v>46686.45</v>
      </c>
      <c r="G804" s="224">
        <f t="shared" si="11"/>
        <v>52.015430895214749</v>
      </c>
    </row>
    <row r="805" spans="1:7">
      <c r="A805" s="755"/>
      <c r="B805" s="858"/>
      <c r="C805" s="220">
        <v>4120</v>
      </c>
      <c r="D805" s="248" t="s">
        <v>276</v>
      </c>
      <c r="E805" s="222">
        <v>14354</v>
      </c>
      <c r="F805" s="227">
        <v>6890.56</v>
      </c>
      <c r="G805" s="224">
        <f t="shared" si="11"/>
        <v>48.004458687473878</v>
      </c>
    </row>
    <row r="806" spans="1:7">
      <c r="A806" s="755"/>
      <c r="B806" s="858"/>
      <c r="C806" s="220">
        <v>4210</v>
      </c>
      <c r="D806" s="248" t="s">
        <v>227</v>
      </c>
      <c r="E806" s="222">
        <v>85000</v>
      </c>
      <c r="F806" s="227">
        <v>58129.09</v>
      </c>
      <c r="G806" s="224">
        <f t="shared" si="11"/>
        <v>68.387164705882356</v>
      </c>
    </row>
    <row r="807" spans="1:7">
      <c r="A807" s="755"/>
      <c r="B807" s="858"/>
      <c r="C807" s="220">
        <v>4220</v>
      </c>
      <c r="D807" s="248" t="s">
        <v>293</v>
      </c>
      <c r="E807" s="222">
        <v>24165</v>
      </c>
      <c r="F807" s="227">
        <v>302.74</v>
      </c>
      <c r="G807" s="224">
        <f t="shared" si="11"/>
        <v>1.2528036416304573</v>
      </c>
    </row>
    <row r="808" spans="1:7">
      <c r="A808" s="755"/>
      <c r="B808" s="858"/>
      <c r="C808" s="220">
        <v>4240</v>
      </c>
      <c r="D808" s="248" t="s">
        <v>270</v>
      </c>
      <c r="E808" s="222">
        <v>1485</v>
      </c>
      <c r="F808" s="227">
        <v>0</v>
      </c>
      <c r="G808" s="224">
        <f t="shared" si="11"/>
        <v>0</v>
      </c>
    </row>
    <row r="809" spans="1:7">
      <c r="A809" s="755"/>
      <c r="B809" s="858"/>
      <c r="C809" s="220">
        <v>4260</v>
      </c>
      <c r="D809" s="248" t="s">
        <v>228</v>
      </c>
      <c r="E809" s="222">
        <v>5000</v>
      </c>
      <c r="F809" s="227">
        <v>4825.43</v>
      </c>
      <c r="G809" s="224">
        <f t="shared" si="11"/>
        <v>96.508600000000001</v>
      </c>
    </row>
    <row r="810" spans="1:7">
      <c r="A810" s="755"/>
      <c r="B810" s="858"/>
      <c r="C810" s="316">
        <v>4270</v>
      </c>
      <c r="D810" s="248" t="s">
        <v>229</v>
      </c>
      <c r="E810" s="222">
        <v>30000</v>
      </c>
      <c r="F810" s="227">
        <v>1372.5</v>
      </c>
      <c r="G810" s="224">
        <f t="shared" si="11"/>
        <v>4.5750000000000002</v>
      </c>
    </row>
    <row r="811" spans="1:7">
      <c r="A811" s="755"/>
      <c r="B811" s="858"/>
      <c r="C811" s="220">
        <v>4280</v>
      </c>
      <c r="D811" s="248" t="s">
        <v>230</v>
      </c>
      <c r="E811" s="222">
        <v>500</v>
      </c>
      <c r="F811" s="227">
        <v>340</v>
      </c>
      <c r="G811" s="224">
        <f t="shared" si="11"/>
        <v>68</v>
      </c>
    </row>
    <row r="812" spans="1:7">
      <c r="A812" s="755"/>
      <c r="B812" s="858"/>
      <c r="C812" s="220">
        <v>4300</v>
      </c>
      <c r="D812" s="248" t="s">
        <v>216</v>
      </c>
      <c r="E812" s="222">
        <v>127909</v>
      </c>
      <c r="F812" s="227">
        <v>82849.14</v>
      </c>
      <c r="G812" s="224">
        <f t="shared" si="11"/>
        <v>64.771939425685446</v>
      </c>
    </row>
    <row r="813" spans="1:7">
      <c r="A813" s="755"/>
      <c r="B813" s="858"/>
      <c r="C813" s="220">
        <v>4350</v>
      </c>
      <c r="D813" s="280" t="s">
        <v>231</v>
      </c>
      <c r="E813" s="222">
        <v>2200</v>
      </c>
      <c r="F813" s="227">
        <v>1054.51</v>
      </c>
      <c r="G813" s="224">
        <f t="shared" si="11"/>
        <v>47.932272727272725</v>
      </c>
    </row>
    <row r="814" spans="1:7">
      <c r="A814" s="755"/>
      <c r="B814" s="858"/>
      <c r="C814" s="220">
        <v>4370</v>
      </c>
      <c r="D814" s="221" t="s">
        <v>233</v>
      </c>
      <c r="E814" s="222">
        <v>6000</v>
      </c>
      <c r="F814" s="227">
        <v>2318.46</v>
      </c>
      <c r="G814" s="224">
        <f t="shared" si="11"/>
        <v>38.640999999999998</v>
      </c>
    </row>
    <row r="815" spans="1:7">
      <c r="A815" s="755"/>
      <c r="B815" s="858"/>
      <c r="C815" s="220">
        <v>4410</v>
      </c>
      <c r="D815" s="248" t="s">
        <v>234</v>
      </c>
      <c r="E815" s="222">
        <v>2000</v>
      </c>
      <c r="F815" s="227">
        <v>46</v>
      </c>
      <c r="G815" s="224">
        <f t="shared" ref="G815:G852" si="12">F815*100/E815</f>
        <v>2.2999999999999998</v>
      </c>
    </row>
    <row r="816" spans="1:7">
      <c r="A816" s="755"/>
      <c r="B816" s="858"/>
      <c r="C816" s="220">
        <v>4440</v>
      </c>
      <c r="D816" s="248" t="s">
        <v>236</v>
      </c>
      <c r="E816" s="222">
        <v>31384</v>
      </c>
      <c r="F816" s="227">
        <v>23538</v>
      </c>
      <c r="G816" s="224">
        <f t="shared" si="12"/>
        <v>75</v>
      </c>
    </row>
    <row r="817" spans="1:7">
      <c r="A817" s="755"/>
      <c r="B817" s="858"/>
      <c r="C817" s="316">
        <v>4700</v>
      </c>
      <c r="D817" s="221" t="s">
        <v>239</v>
      </c>
      <c r="E817" s="222">
        <v>1000</v>
      </c>
      <c r="F817" s="227">
        <v>960</v>
      </c>
      <c r="G817" s="224">
        <f t="shared" si="12"/>
        <v>96</v>
      </c>
    </row>
    <row r="818" spans="1:7">
      <c r="A818" s="755"/>
      <c r="B818" s="858"/>
      <c r="C818" s="220">
        <v>4740</v>
      </c>
      <c r="D818" s="221" t="s">
        <v>240</v>
      </c>
      <c r="E818" s="222">
        <v>1500</v>
      </c>
      <c r="F818" s="227">
        <v>0</v>
      </c>
      <c r="G818" s="224">
        <f t="shared" si="12"/>
        <v>0</v>
      </c>
    </row>
    <row r="819" spans="1:7">
      <c r="A819" s="755"/>
      <c r="B819" s="858"/>
      <c r="C819" s="220">
        <v>4750</v>
      </c>
      <c r="D819" s="221" t="s">
        <v>241</v>
      </c>
      <c r="E819" s="222">
        <v>1000</v>
      </c>
      <c r="F819" s="227">
        <v>952.8</v>
      </c>
      <c r="G819" s="224">
        <f t="shared" si="12"/>
        <v>95.28</v>
      </c>
    </row>
    <row r="820" spans="1:7">
      <c r="A820" s="755"/>
      <c r="B820" s="858"/>
      <c r="C820" s="318"/>
      <c r="D820" s="352" t="s">
        <v>307</v>
      </c>
      <c r="E820" s="244">
        <v>5082</v>
      </c>
      <c r="F820" s="245">
        <v>0</v>
      </c>
      <c r="G820" s="353">
        <f t="shared" si="12"/>
        <v>0</v>
      </c>
    </row>
    <row r="821" spans="1:7">
      <c r="A821" s="755"/>
      <c r="B821" s="859"/>
      <c r="C821" s="318">
        <v>4010</v>
      </c>
      <c r="D821" s="248" t="s">
        <v>222</v>
      </c>
      <c r="E821" s="222">
        <v>5082</v>
      </c>
      <c r="F821" s="227">
        <v>0</v>
      </c>
      <c r="G821" s="224">
        <f t="shared" si="12"/>
        <v>0</v>
      </c>
    </row>
    <row r="822" spans="1:7">
      <c r="A822" s="755"/>
      <c r="B822" s="226">
        <v>85446</v>
      </c>
      <c r="C822" s="282"/>
      <c r="D822" s="283" t="s">
        <v>100</v>
      </c>
      <c r="E822" s="217">
        <f>E823+E826+E829</f>
        <v>10219</v>
      </c>
      <c r="F822" s="229">
        <f>F823+F826+F829</f>
        <v>724.3</v>
      </c>
      <c r="G822" s="219">
        <f t="shared" si="12"/>
        <v>7.0877776690478518</v>
      </c>
    </row>
    <row r="823" spans="1:7">
      <c r="A823" s="755"/>
      <c r="B823" s="875"/>
      <c r="C823" s="284"/>
      <c r="D823" s="285" t="s">
        <v>286</v>
      </c>
      <c r="E823" s="286">
        <f>E824+E825</f>
        <v>3096</v>
      </c>
      <c r="F823" s="287">
        <f>F824+F825</f>
        <v>315.8</v>
      </c>
      <c r="G823" s="224">
        <f t="shared" si="12"/>
        <v>10.200258397932817</v>
      </c>
    </row>
    <row r="824" spans="1:7">
      <c r="A824" s="755"/>
      <c r="B824" s="876"/>
      <c r="C824" s="220">
        <v>4300</v>
      </c>
      <c r="D824" s="248" t="s">
        <v>216</v>
      </c>
      <c r="E824" s="277">
        <v>1000</v>
      </c>
      <c r="F824" s="288">
        <v>0</v>
      </c>
      <c r="G824" s="224">
        <f t="shared" si="12"/>
        <v>0</v>
      </c>
    </row>
    <row r="825" spans="1:7">
      <c r="A825" s="755"/>
      <c r="B825" s="876"/>
      <c r="C825" s="275">
        <v>4700</v>
      </c>
      <c r="D825" s="221" t="s">
        <v>239</v>
      </c>
      <c r="E825" s="222">
        <v>2096</v>
      </c>
      <c r="F825" s="227">
        <v>315.8</v>
      </c>
      <c r="G825" s="224">
        <f t="shared" si="12"/>
        <v>15.066793893129772</v>
      </c>
    </row>
    <row r="826" spans="1:7">
      <c r="A826" s="755"/>
      <c r="B826" s="876"/>
      <c r="C826" s="284"/>
      <c r="D826" s="285" t="s">
        <v>272</v>
      </c>
      <c r="E826" s="286">
        <f>E827+E828</f>
        <v>5072</v>
      </c>
      <c r="F826" s="287">
        <f>F827</f>
        <v>0</v>
      </c>
      <c r="G826" s="224">
        <f t="shared" si="12"/>
        <v>0</v>
      </c>
    </row>
    <row r="827" spans="1:7">
      <c r="A827" s="755"/>
      <c r="B827" s="876"/>
      <c r="C827" s="220">
        <v>4300</v>
      </c>
      <c r="D827" s="248" t="s">
        <v>216</v>
      </c>
      <c r="E827" s="277">
        <v>3072</v>
      </c>
      <c r="F827" s="288">
        <v>0</v>
      </c>
      <c r="G827" s="224">
        <f t="shared" si="12"/>
        <v>0</v>
      </c>
    </row>
    <row r="828" spans="1:7">
      <c r="A828" s="755"/>
      <c r="B828" s="876"/>
      <c r="C828" s="334">
        <v>4700</v>
      </c>
      <c r="D828" s="221" t="s">
        <v>239</v>
      </c>
      <c r="E828" s="277">
        <v>2000</v>
      </c>
      <c r="F828" s="288">
        <v>0</v>
      </c>
      <c r="G828" s="224">
        <f t="shared" si="12"/>
        <v>0</v>
      </c>
    </row>
    <row r="829" spans="1:7">
      <c r="A829" s="755"/>
      <c r="B829" s="876"/>
      <c r="C829" s="279"/>
      <c r="D829" s="285" t="s">
        <v>287</v>
      </c>
      <c r="E829" s="286">
        <f>E830+E831</f>
        <v>2051</v>
      </c>
      <c r="F829" s="287">
        <f>F830+F831</f>
        <v>408.5</v>
      </c>
      <c r="G829" s="224">
        <f t="shared" si="12"/>
        <v>19.917113603120431</v>
      </c>
    </row>
    <row r="830" spans="1:7">
      <c r="A830" s="755"/>
      <c r="B830" s="876"/>
      <c r="C830" s="258">
        <v>4300</v>
      </c>
      <c r="D830" s="248" t="s">
        <v>216</v>
      </c>
      <c r="E830" s="222">
        <v>1551</v>
      </c>
      <c r="F830" s="227">
        <v>350</v>
      </c>
      <c r="G830" s="224">
        <f t="shared" si="12"/>
        <v>22.566086395873629</v>
      </c>
    </row>
    <row r="831" spans="1:7">
      <c r="A831" s="756"/>
      <c r="B831" s="877"/>
      <c r="C831" s="317">
        <v>4410</v>
      </c>
      <c r="D831" s="248" t="s">
        <v>234</v>
      </c>
      <c r="E831" s="222">
        <v>500</v>
      </c>
      <c r="F831" s="227">
        <v>58.5</v>
      </c>
      <c r="G831" s="224">
        <f t="shared" si="12"/>
        <v>11.7</v>
      </c>
    </row>
    <row r="832" spans="1:7">
      <c r="A832" s="210">
        <v>921</v>
      </c>
      <c r="B832" s="210"/>
      <c r="C832" s="289"/>
      <c r="D832" s="251" t="s">
        <v>134</v>
      </c>
      <c r="E832" s="212">
        <f>E833+E837+E839</f>
        <v>180000</v>
      </c>
      <c r="F832" s="228">
        <f>F833</f>
        <v>0</v>
      </c>
      <c r="G832" s="214">
        <f t="shared" si="12"/>
        <v>0</v>
      </c>
    </row>
    <row r="833" spans="1:7">
      <c r="A833" s="872"/>
      <c r="B833" s="290">
        <v>92105</v>
      </c>
      <c r="C833" s="291"/>
      <c r="D833" s="248" t="s">
        <v>135</v>
      </c>
      <c r="E833" s="222">
        <f>E834+E835+E836</f>
        <v>60000</v>
      </c>
      <c r="F833" s="227">
        <f>F834+F835</f>
        <v>0</v>
      </c>
      <c r="G833" s="224">
        <f t="shared" si="12"/>
        <v>0</v>
      </c>
    </row>
    <row r="834" spans="1:7">
      <c r="A834" s="873"/>
      <c r="B834" s="872"/>
      <c r="C834" s="291">
        <v>4210</v>
      </c>
      <c r="D834" s="248" t="s">
        <v>227</v>
      </c>
      <c r="E834" s="222">
        <v>3000</v>
      </c>
      <c r="F834" s="227">
        <v>0</v>
      </c>
      <c r="G834" s="224">
        <f t="shared" si="12"/>
        <v>0</v>
      </c>
    </row>
    <row r="835" spans="1:7">
      <c r="A835" s="873"/>
      <c r="B835" s="873"/>
      <c r="C835" s="291">
        <v>4300</v>
      </c>
      <c r="D835" s="248" t="s">
        <v>216</v>
      </c>
      <c r="E835" s="222">
        <v>7000</v>
      </c>
      <c r="F835" s="227">
        <v>0</v>
      </c>
      <c r="G835" s="224">
        <f t="shared" si="12"/>
        <v>0</v>
      </c>
    </row>
    <row r="836" spans="1:7">
      <c r="A836" s="873"/>
      <c r="B836" s="874"/>
      <c r="C836" s="291">
        <v>4810</v>
      </c>
      <c r="D836" s="248" t="s">
        <v>220</v>
      </c>
      <c r="E836" s="222">
        <v>50000</v>
      </c>
      <c r="F836" s="227">
        <v>0</v>
      </c>
      <c r="G836" s="224">
        <f t="shared" si="12"/>
        <v>0</v>
      </c>
    </row>
    <row r="837" spans="1:7">
      <c r="A837" s="873"/>
      <c r="B837" s="320">
        <v>92116</v>
      </c>
      <c r="C837" s="291"/>
      <c r="D837" s="249" t="s">
        <v>325</v>
      </c>
      <c r="E837" s="217">
        <v>50000</v>
      </c>
      <c r="F837" s="229">
        <v>0</v>
      </c>
      <c r="G837" s="219">
        <f t="shared" si="12"/>
        <v>0</v>
      </c>
    </row>
    <row r="838" spans="1:7">
      <c r="A838" s="873"/>
      <c r="B838" s="320"/>
      <c r="C838" s="291">
        <v>2480</v>
      </c>
      <c r="D838" s="248" t="s">
        <v>356</v>
      </c>
      <c r="E838" s="222">
        <v>50000</v>
      </c>
      <c r="F838" s="227">
        <v>0</v>
      </c>
      <c r="G838" s="224">
        <f t="shared" si="12"/>
        <v>0</v>
      </c>
    </row>
    <row r="839" spans="1:7">
      <c r="A839" s="873"/>
      <c r="B839" s="320">
        <v>92195</v>
      </c>
      <c r="C839" s="291"/>
      <c r="D839" s="249" t="s">
        <v>89</v>
      </c>
      <c r="E839" s="217">
        <v>70000</v>
      </c>
      <c r="F839" s="229">
        <v>0</v>
      </c>
      <c r="G839" s="219">
        <f t="shared" si="12"/>
        <v>0</v>
      </c>
    </row>
    <row r="840" spans="1:7" ht="26.25" customHeight="1">
      <c r="A840" s="874"/>
      <c r="B840" s="320"/>
      <c r="C840" s="291">
        <v>2580</v>
      </c>
      <c r="D840" s="274" t="s">
        <v>354</v>
      </c>
      <c r="E840" s="222">
        <v>70000</v>
      </c>
      <c r="F840" s="227">
        <v>0</v>
      </c>
      <c r="G840" s="224">
        <f t="shared" si="12"/>
        <v>0</v>
      </c>
    </row>
    <row r="841" spans="1:7">
      <c r="A841" s="210">
        <v>926</v>
      </c>
      <c r="B841" s="210"/>
      <c r="C841" s="210"/>
      <c r="D841" s="292" t="s">
        <v>114</v>
      </c>
      <c r="E841" s="212">
        <f>E844+E842+E848</f>
        <v>954175</v>
      </c>
      <c r="F841" s="228">
        <f>F844+F842</f>
        <v>314501.96999999997</v>
      </c>
      <c r="G841" s="214">
        <f t="shared" si="12"/>
        <v>32.960617287185258</v>
      </c>
    </row>
    <row r="842" spans="1:7">
      <c r="A842" s="872"/>
      <c r="B842" s="263">
        <v>92601</v>
      </c>
      <c r="C842" s="263"/>
      <c r="D842" s="293" t="s">
        <v>183</v>
      </c>
      <c r="E842" s="217">
        <f>E843</f>
        <v>874175</v>
      </c>
      <c r="F842" s="229">
        <f>F843</f>
        <v>295501.96999999997</v>
      </c>
      <c r="G842" s="224">
        <f t="shared" si="12"/>
        <v>33.803525609860721</v>
      </c>
    </row>
    <row r="843" spans="1:7">
      <c r="A843" s="873"/>
      <c r="B843" s="267"/>
      <c r="C843" s="267">
        <v>6050</v>
      </c>
      <c r="D843" s="221" t="s">
        <v>242</v>
      </c>
      <c r="E843" s="222">
        <v>874175</v>
      </c>
      <c r="F843" s="227">
        <v>295501.96999999997</v>
      </c>
      <c r="G843" s="224">
        <f t="shared" si="12"/>
        <v>33.803525609860721</v>
      </c>
    </row>
    <row r="844" spans="1:7">
      <c r="A844" s="873"/>
      <c r="B844" s="226">
        <v>92605</v>
      </c>
      <c r="C844" s="226"/>
      <c r="D844" s="249" t="s">
        <v>115</v>
      </c>
      <c r="E844" s="217">
        <f>E845+E846+E847</f>
        <v>40000</v>
      </c>
      <c r="F844" s="229">
        <f>F845+F846</f>
        <v>19000</v>
      </c>
      <c r="G844" s="219">
        <f t="shared" si="12"/>
        <v>47.5</v>
      </c>
    </row>
    <row r="845" spans="1:7" ht="33.75">
      <c r="A845" s="873"/>
      <c r="B845" s="754"/>
      <c r="C845" s="195">
        <v>2820</v>
      </c>
      <c r="D845" s="259" t="s">
        <v>297</v>
      </c>
      <c r="E845" s="222">
        <v>34000</v>
      </c>
      <c r="F845" s="227">
        <v>19000</v>
      </c>
      <c r="G845" s="224">
        <f t="shared" si="12"/>
        <v>55.882352941176471</v>
      </c>
    </row>
    <row r="846" spans="1:7">
      <c r="A846" s="873"/>
      <c r="B846" s="755"/>
      <c r="C846" s="220">
        <v>4210</v>
      </c>
      <c r="D846" s="248" t="s">
        <v>227</v>
      </c>
      <c r="E846" s="222">
        <v>4000</v>
      </c>
      <c r="F846" s="227">
        <v>0</v>
      </c>
      <c r="G846" s="224">
        <f t="shared" si="12"/>
        <v>0</v>
      </c>
    </row>
    <row r="847" spans="1:7">
      <c r="A847" s="873"/>
      <c r="B847" s="756"/>
      <c r="C847" s="316">
        <v>4300</v>
      </c>
      <c r="D847" s="248" t="s">
        <v>216</v>
      </c>
      <c r="E847" s="222">
        <v>2000</v>
      </c>
      <c r="F847" s="227">
        <v>0</v>
      </c>
      <c r="G847" s="224">
        <f t="shared" si="12"/>
        <v>0</v>
      </c>
    </row>
    <row r="848" spans="1:7" s="46" customFormat="1">
      <c r="A848" s="873"/>
      <c r="B848" s="326">
        <v>92695</v>
      </c>
      <c r="C848" s="215"/>
      <c r="D848" s="249" t="s">
        <v>89</v>
      </c>
      <c r="E848" s="217">
        <f>E849+E850+E851</f>
        <v>40000</v>
      </c>
      <c r="F848" s="229">
        <f>SUM(F849:F851)</f>
        <v>0</v>
      </c>
      <c r="G848" s="219">
        <f t="shared" si="12"/>
        <v>0</v>
      </c>
    </row>
    <row r="849" spans="1:7" ht="24.75" customHeight="1">
      <c r="A849" s="873"/>
      <c r="B849" s="754"/>
      <c r="C849" s="316">
        <v>2580</v>
      </c>
      <c r="D849" s="274" t="s">
        <v>354</v>
      </c>
      <c r="E849" s="222">
        <v>30000</v>
      </c>
      <c r="F849" s="227">
        <v>0</v>
      </c>
      <c r="G849" s="224">
        <f t="shared" si="12"/>
        <v>0</v>
      </c>
    </row>
    <row r="850" spans="1:7">
      <c r="A850" s="873"/>
      <c r="B850" s="755"/>
      <c r="C850" s="316">
        <v>3040</v>
      </c>
      <c r="D850" s="248" t="s">
        <v>357</v>
      </c>
      <c r="E850" s="222">
        <v>5000</v>
      </c>
      <c r="F850" s="227">
        <v>0</v>
      </c>
      <c r="G850" s="224">
        <f t="shared" si="12"/>
        <v>0</v>
      </c>
    </row>
    <row r="851" spans="1:7">
      <c r="A851" s="874"/>
      <c r="B851" s="756"/>
      <c r="C851" s="316">
        <v>4210</v>
      </c>
      <c r="D851" s="248" t="s">
        <v>227</v>
      </c>
      <c r="E851" s="222">
        <v>5000</v>
      </c>
      <c r="F851" s="227">
        <v>0</v>
      </c>
      <c r="G851" s="224">
        <f t="shared" si="12"/>
        <v>0</v>
      </c>
    </row>
    <row r="852" spans="1:7">
      <c r="A852" s="210"/>
      <c r="B852" s="210"/>
      <c r="C852" s="210"/>
      <c r="D852" s="251" t="s">
        <v>193</v>
      </c>
      <c r="E852" s="212">
        <f>E8+E13+E18+E28+E55+E69+E96+E151+E190+E194+E508+E635+E716+E832+E841+E492</f>
        <v>41145305</v>
      </c>
      <c r="F852" s="228">
        <f>F8+F13+F28+F55+F69+F96+F151+F190+F194+F492+F508+F635+F716+F841+F18+F832</f>
        <v>19687966.059999999</v>
      </c>
      <c r="G852" s="214">
        <f t="shared" si="12"/>
        <v>47.849848384888624</v>
      </c>
    </row>
  </sheetData>
  <mergeCells count="63">
    <mergeCell ref="A495:A507"/>
    <mergeCell ref="B496:B503"/>
    <mergeCell ref="B505:B507"/>
    <mergeCell ref="A636:A715"/>
    <mergeCell ref="A195:A491"/>
    <mergeCell ref="B196:B218"/>
    <mergeCell ref="B220:B242"/>
    <mergeCell ref="B244:B330"/>
    <mergeCell ref="B332:B377"/>
    <mergeCell ref="B379:B448"/>
    <mergeCell ref="B450:B463"/>
    <mergeCell ref="B465:B482"/>
    <mergeCell ref="B484:B491"/>
    <mergeCell ref="B639:B648"/>
    <mergeCell ref="B650:B666"/>
    <mergeCell ref="B670:B715"/>
    <mergeCell ref="B800:B821"/>
    <mergeCell ref="B764:B791"/>
    <mergeCell ref="B742:B762"/>
    <mergeCell ref="B793:B796"/>
    <mergeCell ref="A842:A851"/>
    <mergeCell ref="B845:B847"/>
    <mergeCell ref="B849:B851"/>
    <mergeCell ref="A833:A840"/>
    <mergeCell ref="B834:B836"/>
    <mergeCell ref="A717:A831"/>
    <mergeCell ref="B823:B831"/>
    <mergeCell ref="B718:B740"/>
    <mergeCell ref="A509:A634"/>
    <mergeCell ref="B602:B608"/>
    <mergeCell ref="B610:B632"/>
    <mergeCell ref="B559:B600"/>
    <mergeCell ref="B510:B555"/>
    <mergeCell ref="B156:B183"/>
    <mergeCell ref="A191:A193"/>
    <mergeCell ref="B192:B193"/>
    <mergeCell ref="A152:A183"/>
    <mergeCell ref="B153:B154"/>
    <mergeCell ref="A70:A95"/>
    <mergeCell ref="B75:B95"/>
    <mergeCell ref="A97:A150"/>
    <mergeCell ref="B98:B100"/>
    <mergeCell ref="B102:B106"/>
    <mergeCell ref="B108:B135"/>
    <mergeCell ref="B137:B143"/>
    <mergeCell ref="B149:B150"/>
    <mergeCell ref="B145:B147"/>
    <mergeCell ref="F1:G1"/>
    <mergeCell ref="D702:D703"/>
    <mergeCell ref="A56:A68"/>
    <mergeCell ref="B57:B68"/>
    <mergeCell ref="A2:G2"/>
    <mergeCell ref="A3:G3"/>
    <mergeCell ref="A5:A6"/>
    <mergeCell ref="B5:B6"/>
    <mergeCell ref="C5:C6"/>
    <mergeCell ref="D5:D6"/>
    <mergeCell ref="A9:A12"/>
    <mergeCell ref="A14:A17"/>
    <mergeCell ref="A19:A27"/>
    <mergeCell ref="A29:A54"/>
    <mergeCell ref="B30:B54"/>
    <mergeCell ref="B20:B2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&amp;C&amp;"Times New (W1),Normalny"Załącznik Nr 22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E827"/>
  <sheetViews>
    <sheetView tabSelected="1" view="pageLayout" workbookViewId="0">
      <selection activeCell="A99" sqref="A99:B99"/>
    </sheetView>
  </sheetViews>
  <sheetFormatPr defaultRowHeight="12.75"/>
  <cols>
    <col min="1" max="1" width="5.85546875" style="37" customWidth="1"/>
    <col min="2" max="2" width="49" style="42" customWidth="1"/>
    <col min="3" max="3" width="13.140625" customWidth="1"/>
    <col min="4" max="4" width="13.7109375" style="377" customWidth="1"/>
    <col min="5" max="5" width="7.5703125" customWidth="1"/>
  </cols>
  <sheetData>
    <row r="1" spans="1:5" ht="15.75">
      <c r="A1" s="405"/>
      <c r="B1" s="406"/>
      <c r="C1" s="366"/>
      <c r="D1" s="886" t="s">
        <v>471</v>
      </c>
      <c r="E1" s="886"/>
    </row>
    <row r="2" spans="1:5" ht="15.75">
      <c r="A2" s="889" t="s">
        <v>359</v>
      </c>
      <c r="B2" s="889"/>
      <c r="C2" s="889"/>
      <c r="D2" s="889"/>
      <c r="E2" s="889"/>
    </row>
    <row r="3" spans="1:5" ht="15.75">
      <c r="A3" s="889" t="s">
        <v>360</v>
      </c>
      <c r="B3" s="889"/>
      <c r="C3" s="889"/>
      <c r="D3" s="889"/>
      <c r="E3" s="889"/>
    </row>
    <row r="4" spans="1:5" ht="15.75">
      <c r="A4" s="889" t="s">
        <v>320</v>
      </c>
      <c r="B4" s="889"/>
      <c r="C4" s="889"/>
      <c r="D4" s="889"/>
      <c r="E4" s="889"/>
    </row>
    <row r="5" spans="1:5">
      <c r="A5" s="556"/>
      <c r="B5" s="131"/>
      <c r="C5" s="374"/>
      <c r="D5" s="373" t="s">
        <v>206</v>
      </c>
      <c r="E5" s="374"/>
    </row>
    <row r="6" spans="1:5">
      <c r="A6" s="557" t="s">
        <v>78</v>
      </c>
      <c r="B6" s="558" t="s">
        <v>358</v>
      </c>
      <c r="C6" s="376" t="s">
        <v>154</v>
      </c>
      <c r="D6" s="376" t="s">
        <v>144</v>
      </c>
      <c r="E6" s="376" t="s">
        <v>155</v>
      </c>
    </row>
    <row r="7" spans="1:5" s="393" customFormat="1" ht="10.5">
      <c r="A7" s="559">
        <v>1</v>
      </c>
      <c r="B7" s="560">
        <v>2</v>
      </c>
      <c r="C7" s="561">
        <v>3</v>
      </c>
      <c r="D7" s="562">
        <v>4</v>
      </c>
      <c r="E7" s="561">
        <v>5</v>
      </c>
    </row>
    <row r="8" spans="1:5" s="398" customFormat="1" ht="19.5" customHeight="1">
      <c r="A8" s="394">
        <v>2318</v>
      </c>
      <c r="B8" s="887" t="s">
        <v>355</v>
      </c>
      <c r="C8" s="395">
        <v>499357</v>
      </c>
      <c r="D8" s="396">
        <v>499355.69</v>
      </c>
      <c r="E8" s="397">
        <f t="shared" ref="E8:E39" si="0">D8*100/C8</f>
        <v>99.999737662634146</v>
      </c>
    </row>
    <row r="9" spans="1:5" s="398" customFormat="1" ht="15.75" customHeight="1">
      <c r="A9" s="394">
        <v>2319</v>
      </c>
      <c r="B9" s="887"/>
      <c r="C9" s="395">
        <v>29398</v>
      </c>
      <c r="D9" s="396">
        <v>29398.75</v>
      </c>
      <c r="E9" s="397">
        <f t="shared" si="0"/>
        <v>100.00255119395877</v>
      </c>
    </row>
    <row r="10" spans="1:5" s="398" customFormat="1" ht="22.5">
      <c r="A10" s="394">
        <v>2320</v>
      </c>
      <c r="B10" s="257" t="s">
        <v>296</v>
      </c>
      <c r="C10" s="395">
        <f>84581+C107</f>
        <v>163925</v>
      </c>
      <c r="D10" s="396">
        <f>35014.27+D107</f>
        <v>80205.14</v>
      </c>
      <c r="E10" s="397">
        <f t="shared" si="0"/>
        <v>48.927948757053528</v>
      </c>
    </row>
    <row r="11" spans="1:5" s="398" customFormat="1">
      <c r="A11" s="399">
        <v>2480</v>
      </c>
      <c r="B11" s="257" t="s">
        <v>356</v>
      </c>
      <c r="C11" s="395">
        <v>50000</v>
      </c>
      <c r="D11" s="396">
        <v>0</v>
      </c>
      <c r="E11" s="397">
        <f t="shared" si="0"/>
        <v>0</v>
      </c>
    </row>
    <row r="12" spans="1:5" s="398" customFormat="1" ht="16.5" customHeight="1">
      <c r="A12" s="394">
        <v>2540</v>
      </c>
      <c r="B12" s="230" t="s">
        <v>273</v>
      </c>
      <c r="C12" s="395">
        <f>544291+C110+C111+C112</f>
        <v>2508300</v>
      </c>
      <c r="D12" s="396">
        <f>179101.88+D110+D111+D112</f>
        <v>951650</v>
      </c>
      <c r="E12" s="397">
        <f t="shared" si="0"/>
        <v>37.940039070286652</v>
      </c>
    </row>
    <row r="13" spans="1:5" s="398" customFormat="1" ht="22.5">
      <c r="A13" s="400">
        <v>2580</v>
      </c>
      <c r="B13" s="274" t="s">
        <v>354</v>
      </c>
      <c r="C13" s="395">
        <f>10000+C114+C115</f>
        <v>110000</v>
      </c>
      <c r="D13" s="396">
        <v>0</v>
      </c>
      <c r="E13" s="397">
        <f t="shared" si="0"/>
        <v>0</v>
      </c>
    </row>
    <row r="14" spans="1:5" s="398" customFormat="1" ht="22.5">
      <c r="A14" s="394">
        <v>2710</v>
      </c>
      <c r="B14" s="230" t="s">
        <v>383</v>
      </c>
      <c r="C14" s="395">
        <v>35000</v>
      </c>
      <c r="D14" s="396">
        <v>35000</v>
      </c>
      <c r="E14" s="397">
        <f t="shared" si="0"/>
        <v>100</v>
      </c>
    </row>
    <row r="15" spans="1:5" s="398" customFormat="1" ht="22.5">
      <c r="A15" s="394">
        <v>2820</v>
      </c>
      <c r="B15" s="380" t="s">
        <v>297</v>
      </c>
      <c r="C15" s="395">
        <f>1608000+C118+C119</f>
        <v>3612000</v>
      </c>
      <c r="D15" s="396">
        <f>489185.73+D118+D119</f>
        <v>1433200.73</v>
      </c>
      <c r="E15" s="397">
        <f t="shared" si="0"/>
        <v>39.678868493909192</v>
      </c>
    </row>
    <row r="16" spans="1:5" s="398" customFormat="1" ht="33.75">
      <c r="A16" s="401">
        <v>2900</v>
      </c>
      <c r="B16" s="230" t="s">
        <v>253</v>
      </c>
      <c r="C16" s="395">
        <v>1356</v>
      </c>
      <c r="D16" s="396">
        <v>1356</v>
      </c>
      <c r="E16" s="397">
        <f t="shared" si="0"/>
        <v>100</v>
      </c>
    </row>
    <row r="17" spans="1:5" s="398" customFormat="1">
      <c r="A17" s="402">
        <v>3000</v>
      </c>
      <c r="B17" s="231" t="s">
        <v>340</v>
      </c>
      <c r="C17" s="395">
        <v>20000</v>
      </c>
      <c r="D17" s="396">
        <v>20000</v>
      </c>
      <c r="E17" s="397">
        <f t="shared" si="0"/>
        <v>100</v>
      </c>
    </row>
    <row r="18" spans="1:5" s="398" customFormat="1">
      <c r="A18" s="401">
        <v>3020</v>
      </c>
      <c r="B18" s="230" t="s">
        <v>221</v>
      </c>
      <c r="C18" s="395">
        <f>11750+SUM(C123:C141)</f>
        <v>129087</v>
      </c>
      <c r="D18" s="396">
        <f>5775.45+SUM(D123:D141)</f>
        <v>57064.2</v>
      </c>
      <c r="E18" s="397">
        <f t="shared" si="0"/>
        <v>44.206000604243648</v>
      </c>
    </row>
    <row r="19" spans="1:5" s="398" customFormat="1">
      <c r="A19" s="394">
        <v>3030</v>
      </c>
      <c r="B19" s="230" t="s">
        <v>218</v>
      </c>
      <c r="C19" s="395">
        <f>247000+C143</f>
        <v>441400</v>
      </c>
      <c r="D19" s="396">
        <f>118946.35+D143</f>
        <v>214506.35</v>
      </c>
      <c r="E19" s="397">
        <f t="shared" si="0"/>
        <v>48.596816946080651</v>
      </c>
    </row>
    <row r="20" spans="1:5" s="398" customFormat="1">
      <c r="A20" s="394">
        <v>3040</v>
      </c>
      <c r="B20" s="257" t="s">
        <v>440</v>
      </c>
      <c r="C20" s="395">
        <v>5000</v>
      </c>
      <c r="D20" s="396">
        <v>0</v>
      </c>
      <c r="E20" s="397">
        <f t="shared" si="0"/>
        <v>0</v>
      </c>
    </row>
    <row r="21" spans="1:5" s="398" customFormat="1" ht="22.5">
      <c r="A21" s="401">
        <v>3070</v>
      </c>
      <c r="B21" s="230" t="s">
        <v>256</v>
      </c>
      <c r="C21" s="395">
        <v>136115</v>
      </c>
      <c r="D21" s="396">
        <v>51509.279999999999</v>
      </c>
      <c r="E21" s="397">
        <f t="shared" si="0"/>
        <v>37.84247143959152</v>
      </c>
    </row>
    <row r="22" spans="1:5" s="398" customFormat="1">
      <c r="A22" s="401">
        <v>3110</v>
      </c>
      <c r="B22" s="257" t="s">
        <v>292</v>
      </c>
      <c r="C22" s="395">
        <f>13200+SUM(C147:C150)</f>
        <v>1621059</v>
      </c>
      <c r="D22" s="396">
        <f>5835+SUM(D147:D150)</f>
        <v>800716.63</v>
      </c>
      <c r="E22" s="397">
        <f t="shared" si="0"/>
        <v>49.394662994992778</v>
      </c>
    </row>
    <row r="23" spans="1:5" s="398" customFormat="1">
      <c r="A23" s="394">
        <v>3118</v>
      </c>
      <c r="B23" s="380" t="s">
        <v>292</v>
      </c>
      <c r="C23" s="395">
        <v>59589</v>
      </c>
      <c r="D23" s="396">
        <v>0</v>
      </c>
      <c r="E23" s="397">
        <f t="shared" si="0"/>
        <v>0</v>
      </c>
    </row>
    <row r="24" spans="1:5" s="398" customFormat="1">
      <c r="A24" s="394">
        <v>3119</v>
      </c>
      <c r="B24" s="380" t="s">
        <v>292</v>
      </c>
      <c r="C24" s="395">
        <v>36613</v>
      </c>
      <c r="D24" s="396">
        <v>494.1</v>
      </c>
      <c r="E24" s="397">
        <f t="shared" si="0"/>
        <v>1.349520662059924</v>
      </c>
    </row>
    <row r="25" spans="1:5" s="398" customFormat="1">
      <c r="A25" s="394">
        <v>3240</v>
      </c>
      <c r="B25" s="230" t="s">
        <v>277</v>
      </c>
      <c r="C25" s="395">
        <f>200+SUM(C154:C160)</f>
        <v>37340</v>
      </c>
      <c r="D25" s="396">
        <f>200+SUM(D154:D160)</f>
        <v>25940</v>
      </c>
      <c r="E25" s="397">
        <f t="shared" si="0"/>
        <v>69.469737546866625</v>
      </c>
    </row>
    <row r="26" spans="1:5" s="398" customFormat="1">
      <c r="A26" s="394">
        <v>4010</v>
      </c>
      <c r="B26" s="230" t="s">
        <v>222</v>
      </c>
      <c r="C26" s="395">
        <f>13650+SUM(C162:C202)</f>
        <v>13091143</v>
      </c>
      <c r="D26" s="396">
        <f>1950+SUM(D162:D202)+34988.7</f>
        <v>6476567.8100000005</v>
      </c>
      <c r="E26" s="397">
        <f t="shared" si="0"/>
        <v>49.47289789745632</v>
      </c>
    </row>
    <row r="27" spans="1:5" s="398" customFormat="1">
      <c r="A27" s="394">
        <v>4018</v>
      </c>
      <c r="B27" s="230" t="s">
        <v>222</v>
      </c>
      <c r="C27" s="395">
        <f>14625+SUM(C204:C205)</f>
        <v>74774</v>
      </c>
      <c r="D27" s="396">
        <f>14625+D204+D205</f>
        <v>17269.32</v>
      </c>
      <c r="E27" s="397">
        <f t="shared" si="0"/>
        <v>23.095354000053494</v>
      </c>
    </row>
    <row r="28" spans="1:5" s="398" customFormat="1">
      <c r="A28" s="394">
        <v>4019</v>
      </c>
      <c r="B28" s="230" t="s">
        <v>222</v>
      </c>
      <c r="C28" s="395">
        <f>4875+C207</f>
        <v>5497</v>
      </c>
      <c r="D28" s="396">
        <f>4875+D207</f>
        <v>5030.68</v>
      </c>
      <c r="E28" s="397">
        <f t="shared" si="0"/>
        <v>91.516827360378386</v>
      </c>
    </row>
    <row r="29" spans="1:5" s="398" customFormat="1">
      <c r="A29" s="394">
        <v>4020</v>
      </c>
      <c r="B29" s="230" t="s">
        <v>248</v>
      </c>
      <c r="C29" s="395">
        <f>116927+C209</f>
        <v>142502</v>
      </c>
      <c r="D29" s="396">
        <f>51611.51+D209</f>
        <v>67035.490000000005</v>
      </c>
      <c r="E29" s="397">
        <f t="shared" si="0"/>
        <v>47.041788887173517</v>
      </c>
    </row>
    <row r="30" spans="1:5" s="398" customFormat="1">
      <c r="A30" s="394">
        <v>4040</v>
      </c>
      <c r="B30" s="230" t="s">
        <v>223</v>
      </c>
      <c r="C30" s="395">
        <f>37200+SUM(C211:C238)</f>
        <v>959272</v>
      </c>
      <c r="D30" s="396">
        <f>37199.16+SUM(D211:D238)</f>
        <v>948789.52999999991</v>
      </c>
      <c r="E30" s="397">
        <f t="shared" si="0"/>
        <v>98.907247370922931</v>
      </c>
    </row>
    <row r="31" spans="1:5" s="398" customFormat="1">
      <c r="A31" s="394">
        <v>4050</v>
      </c>
      <c r="B31" s="230" t="s">
        <v>259</v>
      </c>
      <c r="C31" s="395">
        <v>1774035</v>
      </c>
      <c r="D31" s="396">
        <v>857085.74</v>
      </c>
      <c r="E31" s="397">
        <f t="shared" si="0"/>
        <v>48.312786388092682</v>
      </c>
    </row>
    <row r="32" spans="1:5" s="398" customFormat="1">
      <c r="A32" s="394">
        <v>4060</v>
      </c>
      <c r="B32" s="230" t="s">
        <v>260</v>
      </c>
      <c r="C32" s="395">
        <v>243870</v>
      </c>
      <c r="D32" s="396">
        <v>93892.45</v>
      </c>
      <c r="E32" s="397">
        <f t="shared" si="0"/>
        <v>38.501025136343131</v>
      </c>
    </row>
    <row r="33" spans="1:5" s="398" customFormat="1" ht="22.5">
      <c r="A33" s="394">
        <v>4070</v>
      </c>
      <c r="B33" s="230" t="s">
        <v>261</v>
      </c>
      <c r="C33" s="395">
        <v>147777</v>
      </c>
      <c r="D33" s="396">
        <v>114837.8</v>
      </c>
      <c r="E33" s="397">
        <f t="shared" si="0"/>
        <v>77.710198474728813</v>
      </c>
    </row>
    <row r="34" spans="1:5" s="398" customFormat="1" ht="22.5">
      <c r="A34" s="394">
        <v>4080</v>
      </c>
      <c r="B34" s="230" t="s">
        <v>262</v>
      </c>
      <c r="C34" s="395">
        <v>40000</v>
      </c>
      <c r="D34" s="396">
        <v>6465</v>
      </c>
      <c r="E34" s="397">
        <f t="shared" si="0"/>
        <v>16.162500000000001</v>
      </c>
    </row>
    <row r="35" spans="1:5" s="398" customFormat="1">
      <c r="A35" s="394">
        <v>4110</v>
      </c>
      <c r="B35" s="230" t="s">
        <v>224</v>
      </c>
      <c r="C35" s="395">
        <f>5006+SUM(C244:C279)</f>
        <v>2162837</v>
      </c>
      <c r="D35" s="396">
        <f>3238.95+SUM(D244:D279)</f>
        <v>1112726.1599999999</v>
      </c>
      <c r="E35" s="397">
        <f t="shared" si="0"/>
        <v>51.447527483578277</v>
      </c>
    </row>
    <row r="36" spans="1:5" s="398" customFormat="1">
      <c r="A36" s="394">
        <v>4118</v>
      </c>
      <c r="B36" s="257" t="s">
        <v>224</v>
      </c>
      <c r="C36" s="395">
        <f>7485+C281</f>
        <v>15963</v>
      </c>
      <c r="D36" s="396">
        <f>D281</f>
        <v>529.29999999999995</v>
      </c>
      <c r="E36" s="397">
        <f t="shared" si="0"/>
        <v>3.315792770782434</v>
      </c>
    </row>
    <row r="37" spans="1:5" s="398" customFormat="1">
      <c r="A37" s="394">
        <v>4119</v>
      </c>
      <c r="B37" s="257" t="s">
        <v>224</v>
      </c>
      <c r="C37" s="395">
        <v>498</v>
      </c>
      <c r="D37" s="396">
        <v>31.17</v>
      </c>
      <c r="E37" s="397">
        <f t="shared" si="0"/>
        <v>6.2590361445783129</v>
      </c>
    </row>
    <row r="38" spans="1:5" s="398" customFormat="1">
      <c r="A38" s="394">
        <v>4120</v>
      </c>
      <c r="B38" s="230" t="s">
        <v>225</v>
      </c>
      <c r="C38" s="395">
        <f>813+SUM(C284:C319)</f>
        <v>349919</v>
      </c>
      <c r="D38" s="396">
        <f>525.57+SUM(D284:D319)</f>
        <v>172909.92</v>
      </c>
      <c r="E38" s="397">
        <f t="shared" si="0"/>
        <v>49.41427015966552</v>
      </c>
    </row>
    <row r="39" spans="1:5" s="398" customFormat="1">
      <c r="A39" s="394">
        <v>4128</v>
      </c>
      <c r="B39" s="257" t="s">
        <v>276</v>
      </c>
      <c r="C39" s="395">
        <f>1214+C321</f>
        <v>2482</v>
      </c>
      <c r="D39" s="396">
        <f>D321</f>
        <v>64.790000000000006</v>
      </c>
      <c r="E39" s="397">
        <f t="shared" si="0"/>
        <v>2.6103948428686548</v>
      </c>
    </row>
    <row r="40" spans="1:5" s="398" customFormat="1">
      <c r="A40" s="394">
        <v>4129</v>
      </c>
      <c r="B40" s="257" t="s">
        <v>276</v>
      </c>
      <c r="C40" s="395">
        <v>75</v>
      </c>
      <c r="D40" s="396">
        <v>3.81</v>
      </c>
      <c r="E40" s="397">
        <f t="shared" ref="E40:E71" si="1">D40*100/C40</f>
        <v>5.08</v>
      </c>
    </row>
    <row r="41" spans="1:5" s="398" customFormat="1">
      <c r="A41" s="401">
        <v>4130</v>
      </c>
      <c r="B41" s="257" t="s">
        <v>441</v>
      </c>
      <c r="C41" s="395">
        <f>10000+C324+C325</f>
        <v>1936000</v>
      </c>
      <c r="D41" s="396">
        <f>3137.4+D324+D325</f>
        <v>965774.71</v>
      </c>
      <c r="E41" s="397">
        <f t="shared" si="1"/>
        <v>49.885057334710744</v>
      </c>
    </row>
    <row r="42" spans="1:5" s="398" customFormat="1">
      <c r="A42" s="394">
        <v>4140</v>
      </c>
      <c r="B42" s="230" t="s">
        <v>278</v>
      </c>
      <c r="C42" s="395">
        <v>1500</v>
      </c>
      <c r="D42" s="396">
        <v>124</v>
      </c>
      <c r="E42" s="397">
        <f t="shared" si="1"/>
        <v>8.2666666666666675</v>
      </c>
    </row>
    <row r="43" spans="1:5" s="398" customFormat="1">
      <c r="A43" s="394">
        <v>4170</v>
      </c>
      <c r="B43" s="230" t="s">
        <v>226</v>
      </c>
      <c r="C43" s="395">
        <f>6501+SUM(C328:C350)</f>
        <v>556504</v>
      </c>
      <c r="D43" s="396">
        <f>6190+SUM(D328:D350)</f>
        <v>279549.57999999996</v>
      </c>
      <c r="E43" s="397">
        <f t="shared" si="1"/>
        <v>50.233166338427033</v>
      </c>
    </row>
    <row r="44" spans="1:5" s="398" customFormat="1">
      <c r="A44" s="394">
        <v>4178</v>
      </c>
      <c r="B44" s="230" t="s">
        <v>226</v>
      </c>
      <c r="C44" s="395">
        <v>117228</v>
      </c>
      <c r="D44" s="396">
        <v>23260.58</v>
      </c>
      <c r="E44" s="397">
        <f t="shared" si="1"/>
        <v>19.842170812433888</v>
      </c>
    </row>
    <row r="45" spans="1:5" s="398" customFormat="1">
      <c r="A45" s="394">
        <v>4179</v>
      </c>
      <c r="B45" s="230" t="s">
        <v>226</v>
      </c>
      <c r="C45" s="395">
        <v>6899</v>
      </c>
      <c r="D45" s="396">
        <v>1369.42</v>
      </c>
      <c r="E45" s="397">
        <f t="shared" si="1"/>
        <v>19.849543412088707</v>
      </c>
    </row>
    <row r="46" spans="1:5" s="398" customFormat="1">
      <c r="A46" s="394">
        <v>4180</v>
      </c>
      <c r="B46" s="230" t="s">
        <v>263</v>
      </c>
      <c r="C46" s="395">
        <v>83734</v>
      </c>
      <c r="D46" s="396">
        <v>83733.84</v>
      </c>
      <c r="E46" s="397">
        <f t="shared" si="1"/>
        <v>99.999808918718799</v>
      </c>
    </row>
    <row r="47" spans="1:5" s="398" customFormat="1">
      <c r="A47" s="394">
        <v>4210</v>
      </c>
      <c r="B47" s="230" t="s">
        <v>227</v>
      </c>
      <c r="C47" s="395">
        <f>219250+SUM(C355:C393)</f>
        <v>1340330</v>
      </c>
      <c r="D47" s="396">
        <f>154568.13+SUM(D355:D393)</f>
        <v>797503.74999999988</v>
      </c>
      <c r="E47" s="397">
        <f t="shared" si="1"/>
        <v>59.500552102840331</v>
      </c>
    </row>
    <row r="48" spans="1:5" s="398" customFormat="1">
      <c r="A48" s="394">
        <v>4218</v>
      </c>
      <c r="B48" s="230" t="s">
        <v>227</v>
      </c>
      <c r="C48" s="395">
        <f>5370+C395+C396</f>
        <v>37257</v>
      </c>
      <c r="D48" s="396">
        <f>5369.97+D395+D396</f>
        <v>6465.47</v>
      </c>
      <c r="E48" s="397">
        <f t="shared" si="1"/>
        <v>17.353705343962208</v>
      </c>
    </row>
    <row r="49" spans="1:5" s="398" customFormat="1">
      <c r="A49" s="394">
        <v>4219</v>
      </c>
      <c r="B49" s="230" t="s">
        <v>227</v>
      </c>
      <c r="C49" s="395">
        <f>1790+C398</f>
        <v>3343</v>
      </c>
      <c r="D49" s="396">
        <f>1790+D398</f>
        <v>1854.5</v>
      </c>
      <c r="E49" s="397">
        <f t="shared" si="1"/>
        <v>55.474125037391566</v>
      </c>
    </row>
    <row r="50" spans="1:5" s="398" customFormat="1">
      <c r="A50" s="401">
        <v>4220</v>
      </c>
      <c r="B50" s="380" t="s">
        <v>293</v>
      </c>
      <c r="C50" s="395">
        <f>86178+SUM(C400:C405)</f>
        <v>408141</v>
      </c>
      <c r="D50" s="396">
        <f>53970.23+SUM(D400:D405)</f>
        <v>160657.34000000003</v>
      </c>
      <c r="E50" s="397">
        <f t="shared" si="1"/>
        <v>39.363195562317927</v>
      </c>
    </row>
    <row r="51" spans="1:5" s="398" customFormat="1">
      <c r="A51" s="394">
        <v>4240</v>
      </c>
      <c r="B51" s="230" t="s">
        <v>270</v>
      </c>
      <c r="C51" s="395">
        <f>500+SUM(C407:C419)</f>
        <v>32591</v>
      </c>
      <c r="D51" s="396">
        <f>396.72+SUM(D407:D419)</f>
        <v>11717.62</v>
      </c>
      <c r="E51" s="397">
        <f t="shared" si="1"/>
        <v>35.953545457334847</v>
      </c>
    </row>
    <row r="52" spans="1:5" s="398" customFormat="1">
      <c r="A52" s="394">
        <v>4250</v>
      </c>
      <c r="B52" s="230" t="s">
        <v>264</v>
      </c>
      <c r="C52" s="395">
        <v>5000</v>
      </c>
      <c r="D52" s="396">
        <v>0</v>
      </c>
      <c r="E52" s="397">
        <f t="shared" si="1"/>
        <v>0</v>
      </c>
    </row>
    <row r="53" spans="1:5" s="398" customFormat="1">
      <c r="A53" s="394">
        <v>4260</v>
      </c>
      <c r="B53" s="230" t="s">
        <v>228</v>
      </c>
      <c r="C53" s="395">
        <f>10000+SUM(C422:C449)</f>
        <v>800856</v>
      </c>
      <c r="D53" s="396">
        <f>9664.69+SUM(D422:D449)</f>
        <v>503833.14999999997</v>
      </c>
      <c r="E53" s="397">
        <f t="shared" si="1"/>
        <v>62.911828093939484</v>
      </c>
    </row>
    <row r="54" spans="1:5" s="398" customFormat="1">
      <c r="A54" s="394">
        <v>4270</v>
      </c>
      <c r="B54" s="230" t="s">
        <v>229</v>
      </c>
      <c r="C54" s="395">
        <f>117345+SUM(C451:C470)</f>
        <v>298417</v>
      </c>
      <c r="D54" s="396">
        <f>87852.62+SUM(D451:D470)</f>
        <v>153994.66999999998</v>
      </c>
      <c r="E54" s="397">
        <f t="shared" si="1"/>
        <v>51.603852997650932</v>
      </c>
    </row>
    <row r="55" spans="1:5" s="398" customFormat="1">
      <c r="A55" s="394">
        <v>4280</v>
      </c>
      <c r="B55" s="230" t="s">
        <v>230</v>
      </c>
      <c r="C55" s="395">
        <f>500+SUM(C472:C495)</f>
        <v>28969</v>
      </c>
      <c r="D55" s="396">
        <f>96+SUM(D472:D495)</f>
        <v>5294.5</v>
      </c>
      <c r="E55" s="397">
        <f t="shared" si="1"/>
        <v>18.276433428837723</v>
      </c>
    </row>
    <row r="56" spans="1:5" s="398" customFormat="1">
      <c r="A56" s="394">
        <v>4300</v>
      </c>
      <c r="B56" s="230" t="s">
        <v>216</v>
      </c>
      <c r="C56" s="395">
        <f>22000+SUM(C497:C549)</f>
        <v>1678853</v>
      </c>
      <c r="D56" s="396">
        <f>SUM(D496:D549)</f>
        <v>767189.56000000029</v>
      </c>
      <c r="E56" s="397">
        <f t="shared" si="1"/>
        <v>45.697244487754453</v>
      </c>
    </row>
    <row r="57" spans="1:5" s="398" customFormat="1">
      <c r="A57" s="394">
        <v>4308</v>
      </c>
      <c r="B57" s="230" t="s">
        <v>216</v>
      </c>
      <c r="C57" s="395">
        <f>9474+C551</f>
        <v>42861</v>
      </c>
      <c r="D57" s="396">
        <f>9473.51+D551</f>
        <v>15970.98</v>
      </c>
      <c r="E57" s="397">
        <f t="shared" si="1"/>
        <v>37.262266396024359</v>
      </c>
    </row>
    <row r="58" spans="1:5" s="398" customFormat="1">
      <c r="A58" s="394">
        <v>4309</v>
      </c>
      <c r="B58" s="230" t="s">
        <v>216</v>
      </c>
      <c r="C58" s="395">
        <f>3158+C553</f>
        <v>5143</v>
      </c>
      <c r="D58" s="396">
        <f>3157.83+D553</f>
        <v>3540.3599999999997</v>
      </c>
      <c r="E58" s="397">
        <f t="shared" si="1"/>
        <v>68.838421154967904</v>
      </c>
    </row>
    <row r="59" spans="1:5" s="398" customFormat="1">
      <c r="A59" s="394">
        <v>4350</v>
      </c>
      <c r="B59" s="230" t="s">
        <v>231</v>
      </c>
      <c r="C59" s="395">
        <f>1100+SUM(C555:C573)</f>
        <v>32489</v>
      </c>
      <c r="D59" s="396">
        <f>605.1+SUM(D555:D573)</f>
        <v>11126.500000000002</v>
      </c>
      <c r="E59" s="397">
        <f t="shared" si="1"/>
        <v>34.246975899535236</v>
      </c>
    </row>
    <row r="60" spans="1:5" s="398" customFormat="1" ht="14.25" customHeight="1">
      <c r="A60" s="394">
        <v>4360</v>
      </c>
      <c r="B60" s="230" t="s">
        <v>232</v>
      </c>
      <c r="C60" s="395">
        <f>5500+SUM(C575:C587)</f>
        <v>57359</v>
      </c>
      <c r="D60" s="396">
        <f>2216.68+SUM(D575:D587)</f>
        <v>25817.730000000007</v>
      </c>
      <c r="E60" s="397">
        <f t="shared" si="1"/>
        <v>45.01077424641295</v>
      </c>
    </row>
    <row r="61" spans="1:5" s="398" customFormat="1" ht="14.25" customHeight="1">
      <c r="A61" s="394">
        <v>4370</v>
      </c>
      <c r="B61" s="230" t="s">
        <v>361</v>
      </c>
      <c r="C61" s="395">
        <f>5500+SUM(C589:C613)</f>
        <v>112377</v>
      </c>
      <c r="D61" s="396">
        <f>2107.57+SUM(D589:D613)</f>
        <v>42453.670000000006</v>
      </c>
      <c r="E61" s="397">
        <f t="shared" si="1"/>
        <v>37.777899392224398</v>
      </c>
    </row>
    <row r="62" spans="1:5" s="398" customFormat="1">
      <c r="A62" s="394">
        <v>4380</v>
      </c>
      <c r="B62" s="230" t="s">
        <v>252</v>
      </c>
      <c r="C62" s="395">
        <v>3000</v>
      </c>
      <c r="D62" s="396">
        <v>1000.4</v>
      </c>
      <c r="E62" s="397">
        <f t="shared" si="1"/>
        <v>33.346666666666664</v>
      </c>
    </row>
    <row r="63" spans="1:5" s="398" customFormat="1">
      <c r="A63" s="394">
        <v>4390</v>
      </c>
      <c r="B63" s="230" t="s">
        <v>337</v>
      </c>
      <c r="C63" s="395">
        <v>1220</v>
      </c>
      <c r="D63" s="396">
        <v>1220</v>
      </c>
      <c r="E63" s="397">
        <f t="shared" si="1"/>
        <v>100</v>
      </c>
    </row>
    <row r="64" spans="1:5" s="398" customFormat="1" ht="22.5">
      <c r="A64" s="394">
        <v>4400</v>
      </c>
      <c r="B64" s="230" t="s">
        <v>249</v>
      </c>
      <c r="C64" s="395">
        <f>8400+C617+C618+C619</f>
        <v>22700</v>
      </c>
      <c r="D64" s="396">
        <f>3077.97+D617+D618+D619</f>
        <v>10216.23</v>
      </c>
      <c r="E64" s="397">
        <f t="shared" si="1"/>
        <v>45.005418502202645</v>
      </c>
    </row>
    <row r="65" spans="1:5" s="398" customFormat="1">
      <c r="A65" s="394">
        <v>4410</v>
      </c>
      <c r="B65" s="230" t="s">
        <v>234</v>
      </c>
      <c r="C65" s="395">
        <f>400+SUM(C621:C650)</f>
        <v>108052</v>
      </c>
      <c r="D65" s="396">
        <f>51.3+SUM(D621:D650)</f>
        <v>55611.400000000009</v>
      </c>
      <c r="E65" s="397">
        <f t="shared" si="1"/>
        <v>51.467256506126688</v>
      </c>
    </row>
    <row r="66" spans="1:5" s="398" customFormat="1">
      <c r="A66" s="394">
        <v>4418</v>
      </c>
      <c r="B66" s="257" t="s">
        <v>285</v>
      </c>
      <c r="C66" s="395">
        <v>1724</v>
      </c>
      <c r="D66" s="396">
        <v>0</v>
      </c>
      <c r="E66" s="397">
        <f t="shared" si="1"/>
        <v>0</v>
      </c>
    </row>
    <row r="67" spans="1:5" s="398" customFormat="1">
      <c r="A67" s="394">
        <v>4419</v>
      </c>
      <c r="B67" s="257" t="s">
        <v>285</v>
      </c>
      <c r="C67" s="395">
        <v>102</v>
      </c>
      <c r="D67" s="396">
        <v>0</v>
      </c>
      <c r="E67" s="397">
        <f t="shared" si="1"/>
        <v>0</v>
      </c>
    </row>
    <row r="68" spans="1:5" s="398" customFormat="1">
      <c r="A68" s="401">
        <v>4420</v>
      </c>
      <c r="B68" s="230" t="s">
        <v>251</v>
      </c>
      <c r="C68" s="395">
        <f>3500+C654+C655+C656+C657+C658</f>
        <v>11180</v>
      </c>
      <c r="D68" s="396">
        <f>1482.91+D654+D655+D656+D657+D658</f>
        <v>6187.57</v>
      </c>
      <c r="E68" s="397">
        <f t="shared" si="1"/>
        <v>55.34499105545617</v>
      </c>
    </row>
    <row r="69" spans="1:5" s="398" customFormat="1">
      <c r="A69" s="394">
        <v>4430</v>
      </c>
      <c r="B69" s="230" t="s">
        <v>235</v>
      </c>
      <c r="C69" s="395">
        <f>1800+SUM(C660:C669)</f>
        <v>148332</v>
      </c>
      <c r="D69" s="396">
        <f>SUM(D659:D669)</f>
        <v>104444.93999999999</v>
      </c>
      <c r="E69" s="397">
        <f t="shared" si="1"/>
        <v>70.412952026535052</v>
      </c>
    </row>
    <row r="70" spans="1:5" s="398" customFormat="1">
      <c r="A70" s="394">
        <v>4440</v>
      </c>
      <c r="B70" s="230" t="s">
        <v>236</v>
      </c>
      <c r="C70" s="395">
        <f>1285+SUM(C671:C700)</f>
        <v>768921</v>
      </c>
      <c r="D70" s="396">
        <f>1285+SUM(D671:D700)</f>
        <v>609319.74</v>
      </c>
      <c r="E70" s="397">
        <f t="shared" si="1"/>
        <v>79.243477548408748</v>
      </c>
    </row>
    <row r="71" spans="1:5" s="398" customFormat="1">
      <c r="A71" s="394">
        <v>4448</v>
      </c>
      <c r="B71" s="257" t="s">
        <v>236</v>
      </c>
      <c r="C71" s="395">
        <f>1813+C702</f>
        <v>2384</v>
      </c>
      <c r="D71" s="396">
        <f>D702</f>
        <v>570.41999999999996</v>
      </c>
      <c r="E71" s="397">
        <f t="shared" si="1"/>
        <v>23.927013422818789</v>
      </c>
    </row>
    <row r="72" spans="1:5" s="398" customFormat="1">
      <c r="A72" s="394">
        <v>4449</v>
      </c>
      <c r="B72" s="257" t="s">
        <v>236</v>
      </c>
      <c r="C72" s="395">
        <v>33</v>
      </c>
      <c r="D72" s="396">
        <v>33.58</v>
      </c>
      <c r="E72" s="397">
        <f t="shared" ref="E72:E99" si="2">D72*100/C72</f>
        <v>101.75757575757575</v>
      </c>
    </row>
    <row r="73" spans="1:5" s="398" customFormat="1">
      <c r="A73" s="394">
        <v>4480</v>
      </c>
      <c r="B73" s="230" t="s">
        <v>237</v>
      </c>
      <c r="C73" s="395">
        <f>3505+SUM(C705:C712)</f>
        <v>46168</v>
      </c>
      <c r="D73" s="396">
        <f>1644.98+SUM(D705:D712)</f>
        <v>17474.78</v>
      </c>
      <c r="E73" s="397">
        <f t="shared" si="2"/>
        <v>37.850415872465774</v>
      </c>
    </row>
    <row r="74" spans="1:5" s="398" customFormat="1">
      <c r="A74" s="394">
        <v>4500</v>
      </c>
      <c r="B74" s="230" t="s">
        <v>265</v>
      </c>
      <c r="C74" s="395">
        <v>810</v>
      </c>
      <c r="D74" s="396">
        <v>810</v>
      </c>
      <c r="E74" s="397">
        <f t="shared" si="2"/>
        <v>100</v>
      </c>
    </row>
    <row r="75" spans="1:5" s="398" customFormat="1">
      <c r="A75" s="394">
        <v>4510</v>
      </c>
      <c r="B75" s="230" t="s">
        <v>245</v>
      </c>
      <c r="C75" s="395">
        <f>500+C715+C716</f>
        <v>10645</v>
      </c>
      <c r="D75" s="396">
        <f>D716</f>
        <v>145.33000000000001</v>
      </c>
      <c r="E75" s="397">
        <f t="shared" si="2"/>
        <v>1.3652418976045093</v>
      </c>
    </row>
    <row r="76" spans="1:5" s="398" customFormat="1">
      <c r="A76" s="394">
        <v>4520</v>
      </c>
      <c r="B76" s="230" t="s">
        <v>238</v>
      </c>
      <c r="C76" s="395">
        <f>1989+C718+C719+C720</f>
        <v>6042</v>
      </c>
      <c r="D76" s="396">
        <f>1988.4+D718+D719+D720</f>
        <v>5964.6100000000006</v>
      </c>
      <c r="E76" s="397">
        <f t="shared" si="2"/>
        <v>98.71913273750414</v>
      </c>
    </row>
    <row r="77" spans="1:5" s="398" customFormat="1">
      <c r="A77" s="394">
        <v>4530</v>
      </c>
      <c r="B77" s="230" t="s">
        <v>246</v>
      </c>
      <c r="C77" s="395">
        <f>261000+C722+C723+C724+C725+C726</f>
        <v>297445</v>
      </c>
      <c r="D77" s="396">
        <f>225363+D722+D723+D724+D725+D726</f>
        <v>248341.13999999998</v>
      </c>
      <c r="E77" s="397">
        <f t="shared" si="2"/>
        <v>83.491448839281205</v>
      </c>
    </row>
    <row r="78" spans="1:5" s="398" customFormat="1">
      <c r="A78" s="394">
        <v>4550</v>
      </c>
      <c r="B78" s="230" t="s">
        <v>250</v>
      </c>
      <c r="C78" s="395">
        <v>750</v>
      </c>
      <c r="D78" s="396">
        <v>0</v>
      </c>
      <c r="E78" s="397">
        <f t="shared" si="2"/>
        <v>0</v>
      </c>
    </row>
    <row r="79" spans="1:5" s="398" customFormat="1" ht="14.25" customHeight="1">
      <c r="A79" s="394">
        <v>4570</v>
      </c>
      <c r="B79" s="230" t="s">
        <v>338</v>
      </c>
      <c r="C79" s="395">
        <v>2023</v>
      </c>
      <c r="D79" s="396">
        <v>2022.37</v>
      </c>
      <c r="E79" s="397">
        <f t="shared" si="2"/>
        <v>99.968858131487892</v>
      </c>
    </row>
    <row r="80" spans="1:5" s="398" customFormat="1">
      <c r="A80" s="394">
        <v>4580</v>
      </c>
      <c r="B80" s="230" t="s">
        <v>74</v>
      </c>
      <c r="C80" s="395">
        <f>176+C730+C731</f>
        <v>698</v>
      </c>
      <c r="D80" s="396">
        <f>176+D730+D731</f>
        <v>420.31</v>
      </c>
      <c r="E80" s="397">
        <f t="shared" si="2"/>
        <v>60.216332378223498</v>
      </c>
    </row>
    <row r="81" spans="1:5" s="398" customFormat="1">
      <c r="A81" s="394">
        <v>4590</v>
      </c>
      <c r="B81" s="230" t="s">
        <v>339</v>
      </c>
      <c r="C81" s="395">
        <v>762</v>
      </c>
      <c r="D81" s="396">
        <v>760</v>
      </c>
      <c r="E81" s="397">
        <f t="shared" si="2"/>
        <v>99.737532808398953</v>
      </c>
    </row>
    <row r="82" spans="1:5" s="398" customFormat="1">
      <c r="A82" s="394">
        <v>4610</v>
      </c>
      <c r="B82" s="230" t="s">
        <v>217</v>
      </c>
      <c r="C82" s="395">
        <f>100+C734+C735+C736+C737+C738</f>
        <v>20947</v>
      </c>
      <c r="D82" s="396">
        <f>50.78+D734+D735+D736+D737+D738</f>
        <v>18799.509999999998</v>
      </c>
      <c r="E82" s="397">
        <f t="shared" si="2"/>
        <v>89.747983004726208</v>
      </c>
    </row>
    <row r="83" spans="1:5" s="398" customFormat="1" ht="14.25" customHeight="1">
      <c r="A83" s="394">
        <v>4700</v>
      </c>
      <c r="B83" s="230" t="s">
        <v>239</v>
      </c>
      <c r="C83" s="395">
        <f>5730+SUM(C740:C760)</f>
        <v>41448</v>
      </c>
      <c r="D83" s="396">
        <f>2020+SUM(D740:D760)</f>
        <v>15627.399999999998</v>
      </c>
      <c r="E83" s="397">
        <f t="shared" si="2"/>
        <v>37.703628643119082</v>
      </c>
    </row>
    <row r="84" spans="1:5" s="398" customFormat="1" ht="22.5">
      <c r="A84" s="394">
        <v>4740</v>
      </c>
      <c r="B84" s="230" t="s">
        <v>240</v>
      </c>
      <c r="C84" s="395">
        <f>700+SUM(C762:C782)</f>
        <v>32419</v>
      </c>
      <c r="D84" s="396">
        <f>200.82+SUM(D762:D782)</f>
        <v>9018.65</v>
      </c>
      <c r="E84" s="397">
        <f t="shared" si="2"/>
        <v>27.819025879885253</v>
      </c>
    </row>
    <row r="85" spans="1:5" s="398" customFormat="1" ht="22.5">
      <c r="A85" s="394">
        <v>4748</v>
      </c>
      <c r="B85" s="403" t="s">
        <v>240</v>
      </c>
      <c r="C85" s="395">
        <v>5666</v>
      </c>
      <c r="D85" s="396">
        <v>218.91</v>
      </c>
      <c r="E85" s="397">
        <f t="shared" si="2"/>
        <v>3.863572184962937</v>
      </c>
    </row>
    <row r="86" spans="1:5" s="398" customFormat="1" ht="22.5">
      <c r="A86" s="394">
        <v>4749</v>
      </c>
      <c r="B86" s="230" t="s">
        <v>240</v>
      </c>
      <c r="C86" s="395">
        <v>334</v>
      </c>
      <c r="D86" s="396">
        <v>12.89</v>
      </c>
      <c r="E86" s="397">
        <f t="shared" si="2"/>
        <v>3.8592814371257487</v>
      </c>
    </row>
    <row r="87" spans="1:5" s="398" customFormat="1">
      <c r="A87" s="394">
        <v>4750</v>
      </c>
      <c r="B87" s="230" t="s">
        <v>241</v>
      </c>
      <c r="C87" s="395">
        <f>11000+SUM(C786:C805)</f>
        <v>85507</v>
      </c>
      <c r="D87" s="396">
        <f>1658.12+SUM(D786:D805)</f>
        <v>58936.720000000016</v>
      </c>
      <c r="E87" s="397">
        <f t="shared" si="2"/>
        <v>68.926193177166809</v>
      </c>
    </row>
    <row r="88" spans="1:5" s="398" customFormat="1">
      <c r="A88" s="394">
        <v>4758</v>
      </c>
      <c r="B88" s="230" t="s">
        <v>241</v>
      </c>
      <c r="C88" s="395">
        <v>4990</v>
      </c>
      <c r="D88" s="396">
        <v>0</v>
      </c>
      <c r="E88" s="397">
        <f t="shared" si="2"/>
        <v>0</v>
      </c>
    </row>
    <row r="89" spans="1:5" s="398" customFormat="1">
      <c r="A89" s="394">
        <v>4759</v>
      </c>
      <c r="B89" s="230" t="s">
        <v>241</v>
      </c>
      <c r="C89" s="395">
        <v>294</v>
      </c>
      <c r="D89" s="396">
        <v>0</v>
      </c>
      <c r="E89" s="397">
        <f t="shared" si="2"/>
        <v>0</v>
      </c>
    </row>
    <row r="90" spans="1:5" s="398" customFormat="1">
      <c r="A90" s="394">
        <v>4810</v>
      </c>
      <c r="B90" s="230" t="s">
        <v>220</v>
      </c>
      <c r="C90" s="395">
        <f>40758+C809+C810</f>
        <v>140758</v>
      </c>
      <c r="D90" s="396">
        <v>0</v>
      </c>
      <c r="E90" s="397">
        <f t="shared" si="2"/>
        <v>0</v>
      </c>
    </row>
    <row r="91" spans="1:5" s="398" customFormat="1">
      <c r="A91" s="394">
        <v>6050</v>
      </c>
      <c r="B91" s="230" t="s">
        <v>242</v>
      </c>
      <c r="C91" s="395">
        <f>470193+C812+C813+C814</f>
        <v>2780734</v>
      </c>
      <c r="D91" s="396">
        <f>D813+D814</f>
        <v>306527.03999999998</v>
      </c>
      <c r="E91" s="397">
        <f t="shared" si="2"/>
        <v>11.023242064864887</v>
      </c>
    </row>
    <row r="92" spans="1:5" s="398" customFormat="1">
      <c r="A92" s="394">
        <v>6060</v>
      </c>
      <c r="B92" s="230" t="s">
        <v>243</v>
      </c>
      <c r="C92" s="395">
        <v>90770</v>
      </c>
      <c r="D92" s="396">
        <v>12470</v>
      </c>
      <c r="E92" s="397">
        <f t="shared" si="2"/>
        <v>13.738019169329073</v>
      </c>
    </row>
    <row r="93" spans="1:5" s="398" customFormat="1">
      <c r="A93" s="394">
        <v>6068</v>
      </c>
      <c r="B93" s="257" t="s">
        <v>243</v>
      </c>
      <c r="C93" s="395">
        <v>8500</v>
      </c>
      <c r="D93" s="396">
        <v>0</v>
      </c>
      <c r="E93" s="397">
        <f t="shared" si="2"/>
        <v>0</v>
      </c>
    </row>
    <row r="94" spans="1:5" s="398" customFormat="1">
      <c r="A94" s="394">
        <v>6069</v>
      </c>
      <c r="B94" s="257" t="s">
        <v>243</v>
      </c>
      <c r="C94" s="395">
        <v>500</v>
      </c>
      <c r="D94" s="396">
        <v>0</v>
      </c>
      <c r="E94" s="397">
        <f t="shared" si="2"/>
        <v>0</v>
      </c>
    </row>
    <row r="95" spans="1:5" s="398" customFormat="1" ht="22.5">
      <c r="A95" s="402">
        <v>6170</v>
      </c>
      <c r="B95" s="231" t="s">
        <v>341</v>
      </c>
      <c r="C95" s="395">
        <v>60000</v>
      </c>
      <c r="D95" s="396">
        <v>60000</v>
      </c>
      <c r="E95" s="397">
        <f t="shared" si="2"/>
        <v>100</v>
      </c>
    </row>
    <row r="96" spans="1:5" s="398" customFormat="1" ht="33.75">
      <c r="A96" s="394">
        <v>6650</v>
      </c>
      <c r="B96" s="231" t="s">
        <v>253</v>
      </c>
      <c r="C96" s="395">
        <v>4255</v>
      </c>
      <c r="D96" s="396">
        <v>4255</v>
      </c>
      <c r="E96" s="397">
        <f t="shared" si="2"/>
        <v>100</v>
      </c>
    </row>
    <row r="97" spans="1:5" s="398" customFormat="1" ht="22.5">
      <c r="A97" s="401">
        <v>8070</v>
      </c>
      <c r="B97" s="230" t="s">
        <v>267</v>
      </c>
      <c r="C97" s="395">
        <v>260000</v>
      </c>
      <c r="D97" s="396">
        <v>119531.1</v>
      </c>
      <c r="E97" s="397">
        <f t="shared" si="2"/>
        <v>45.973500000000001</v>
      </c>
    </row>
    <row r="98" spans="1:5" s="398" customFormat="1">
      <c r="A98" s="401">
        <v>8110</v>
      </c>
      <c r="B98" s="230" t="s">
        <v>268</v>
      </c>
      <c r="C98" s="395">
        <v>83158</v>
      </c>
      <c r="D98" s="396">
        <v>83158.25</v>
      </c>
      <c r="E98" s="397">
        <f t="shared" si="2"/>
        <v>100.00030063253085</v>
      </c>
    </row>
    <row r="99" spans="1:5">
      <c r="A99" s="870" t="s">
        <v>193</v>
      </c>
      <c r="B99" s="888"/>
      <c r="C99" s="217">
        <f>SUM(C8:C98)</f>
        <v>41145305</v>
      </c>
      <c r="D99" s="229">
        <f>SUM(D8:D98)</f>
        <v>19687966.059999999</v>
      </c>
      <c r="E99" s="404">
        <f t="shared" si="2"/>
        <v>47.849848384888624</v>
      </c>
    </row>
    <row r="100" spans="1:5">
      <c r="A100" s="391"/>
      <c r="B100" s="392"/>
      <c r="C100" s="387"/>
      <c r="D100" s="388"/>
      <c r="E100" s="389"/>
    </row>
    <row r="101" spans="1:5">
      <c r="A101" s="385"/>
      <c r="B101" s="390"/>
      <c r="C101" s="387"/>
      <c r="D101" s="388"/>
      <c r="E101" s="389"/>
    </row>
    <row r="102" spans="1:5">
      <c r="A102" s="385"/>
      <c r="B102" s="390"/>
      <c r="C102" s="387"/>
      <c r="D102" s="388"/>
      <c r="E102" s="389"/>
    </row>
    <row r="103" spans="1:5">
      <c r="A103" s="385"/>
      <c r="B103" s="386"/>
      <c r="C103" s="387"/>
      <c r="D103" s="388"/>
      <c r="E103" s="389"/>
    </row>
    <row r="104" spans="1:5" ht="33.75" hidden="1">
      <c r="A104" s="369">
        <v>2318</v>
      </c>
      <c r="B104" s="257" t="s">
        <v>355</v>
      </c>
      <c r="C104" s="222">
        <v>499357</v>
      </c>
      <c r="D104" s="227">
        <v>499355.69</v>
      </c>
      <c r="E104" s="224">
        <f t="shared" ref="E104:E135" si="3">D104*100/C104</f>
        <v>99.999737662634146</v>
      </c>
    </row>
    <row r="105" spans="1:5" hidden="1">
      <c r="A105" s="369">
        <v>2319</v>
      </c>
      <c r="B105" s="257"/>
      <c r="C105" s="222">
        <v>29398</v>
      </c>
      <c r="D105" s="227">
        <v>29398.75</v>
      </c>
      <c r="E105" s="224">
        <f t="shared" si="3"/>
        <v>100.00255119395877</v>
      </c>
    </row>
    <row r="106" spans="1:5" ht="22.5" hidden="1">
      <c r="A106" s="369">
        <v>2320</v>
      </c>
      <c r="B106" s="257" t="s">
        <v>296</v>
      </c>
      <c r="C106" s="222">
        <v>84581</v>
      </c>
      <c r="D106" s="227">
        <v>35014.269999999997</v>
      </c>
      <c r="E106" s="224">
        <f t="shared" si="3"/>
        <v>41.397323275913024</v>
      </c>
    </row>
    <row r="107" spans="1:5" ht="22.5" hidden="1">
      <c r="A107" s="361">
        <v>2320</v>
      </c>
      <c r="B107" s="257" t="s">
        <v>296</v>
      </c>
      <c r="C107" s="222">
        <v>79344</v>
      </c>
      <c r="D107" s="227">
        <v>45190.87</v>
      </c>
      <c r="E107" s="224">
        <f t="shared" si="3"/>
        <v>56.955623613631779</v>
      </c>
    </row>
    <row r="108" spans="1:5" hidden="1">
      <c r="A108" s="291">
        <v>2480</v>
      </c>
      <c r="B108" s="248" t="s">
        <v>356</v>
      </c>
      <c r="C108" s="222">
        <v>50000</v>
      </c>
      <c r="D108" s="227">
        <v>0</v>
      </c>
      <c r="E108" s="224">
        <f t="shared" si="3"/>
        <v>0</v>
      </c>
    </row>
    <row r="109" spans="1:5" ht="22.5" hidden="1">
      <c r="A109" s="369">
        <v>2540</v>
      </c>
      <c r="B109" s="230" t="s">
        <v>273</v>
      </c>
      <c r="C109" s="222">
        <v>544291</v>
      </c>
      <c r="D109" s="227">
        <v>179101.88</v>
      </c>
      <c r="E109" s="224">
        <f t="shared" si="3"/>
        <v>32.905537662757602</v>
      </c>
    </row>
    <row r="110" spans="1:5" ht="22.5" hidden="1">
      <c r="A110" s="369">
        <v>2540</v>
      </c>
      <c r="B110" s="230" t="s">
        <v>273</v>
      </c>
      <c r="C110" s="222">
        <v>464911</v>
      </c>
      <c r="D110" s="227">
        <v>245539.3</v>
      </c>
      <c r="E110" s="224">
        <f t="shared" si="3"/>
        <v>52.814259073241978</v>
      </c>
    </row>
    <row r="111" spans="1:5" ht="22.5" hidden="1">
      <c r="A111" s="369">
        <v>2540</v>
      </c>
      <c r="B111" s="230" t="s">
        <v>273</v>
      </c>
      <c r="C111" s="222">
        <v>552081</v>
      </c>
      <c r="D111" s="227">
        <v>142256.82</v>
      </c>
      <c r="E111" s="224">
        <f t="shared" si="3"/>
        <v>25.767381960255832</v>
      </c>
    </row>
    <row r="112" spans="1:5" ht="22.5" hidden="1">
      <c r="A112" s="369">
        <v>2540</v>
      </c>
      <c r="B112" s="230" t="s">
        <v>273</v>
      </c>
      <c r="C112" s="222">
        <v>947017</v>
      </c>
      <c r="D112" s="227">
        <v>384752</v>
      </c>
      <c r="E112" s="224">
        <f t="shared" si="3"/>
        <v>40.627781761045469</v>
      </c>
    </row>
    <row r="113" spans="1:5" ht="22.5" hidden="1">
      <c r="A113" s="273">
        <v>2580</v>
      </c>
      <c r="B113" s="274" t="s">
        <v>354</v>
      </c>
      <c r="C113" s="222">
        <v>10000</v>
      </c>
      <c r="D113" s="227">
        <v>0</v>
      </c>
      <c r="E113" s="224">
        <f t="shared" si="3"/>
        <v>0</v>
      </c>
    </row>
    <row r="114" spans="1:5" ht="22.5" hidden="1">
      <c r="A114" s="291">
        <v>2580</v>
      </c>
      <c r="B114" s="274" t="s">
        <v>354</v>
      </c>
      <c r="C114" s="222">
        <v>70000</v>
      </c>
      <c r="D114" s="227">
        <v>0</v>
      </c>
      <c r="E114" s="224">
        <f t="shared" si="3"/>
        <v>0</v>
      </c>
    </row>
    <row r="115" spans="1:5" ht="22.5" hidden="1">
      <c r="A115" s="369">
        <v>2580</v>
      </c>
      <c r="B115" s="274" t="s">
        <v>354</v>
      </c>
      <c r="C115" s="222">
        <v>30000</v>
      </c>
      <c r="D115" s="227">
        <v>0</v>
      </c>
      <c r="E115" s="224">
        <f t="shared" si="3"/>
        <v>0</v>
      </c>
    </row>
    <row r="116" spans="1:5" hidden="1">
      <c r="A116" s="369">
        <v>2710</v>
      </c>
      <c r="B116" s="221" t="s">
        <v>342</v>
      </c>
      <c r="C116" s="222">
        <v>35000</v>
      </c>
      <c r="D116" s="227">
        <v>35000</v>
      </c>
      <c r="E116" s="224">
        <f t="shared" si="3"/>
        <v>100</v>
      </c>
    </row>
    <row r="117" spans="1:5" ht="22.5" hidden="1">
      <c r="A117" s="369">
        <v>2820</v>
      </c>
      <c r="B117" s="380" t="s">
        <v>297</v>
      </c>
      <c r="C117" s="222">
        <v>1608000</v>
      </c>
      <c r="D117" s="227">
        <v>489185.73</v>
      </c>
      <c r="E117" s="224">
        <f t="shared" si="3"/>
        <v>30.421998134328359</v>
      </c>
    </row>
    <row r="118" spans="1:5" ht="22.5" hidden="1">
      <c r="A118" s="361">
        <v>2820</v>
      </c>
      <c r="B118" s="380" t="s">
        <v>297</v>
      </c>
      <c r="C118" s="222">
        <v>1970000</v>
      </c>
      <c r="D118" s="227">
        <v>925015</v>
      </c>
      <c r="E118" s="224">
        <f t="shared" si="3"/>
        <v>46.955076142131979</v>
      </c>
    </row>
    <row r="119" spans="1:5" ht="22.5" hidden="1">
      <c r="A119" s="361">
        <v>2820</v>
      </c>
      <c r="B119" s="380" t="s">
        <v>297</v>
      </c>
      <c r="C119" s="222">
        <v>34000</v>
      </c>
      <c r="D119" s="227">
        <v>19000</v>
      </c>
      <c r="E119" s="224">
        <f t="shared" si="3"/>
        <v>55.882352941176471</v>
      </c>
    </row>
    <row r="120" spans="1:5" hidden="1">
      <c r="A120" s="361">
        <v>2900</v>
      </c>
      <c r="B120" s="221" t="s">
        <v>253</v>
      </c>
      <c r="C120" s="222">
        <v>1356</v>
      </c>
      <c r="D120" s="227">
        <v>1356</v>
      </c>
      <c r="E120" s="224">
        <f t="shared" si="3"/>
        <v>100</v>
      </c>
    </row>
    <row r="121" spans="1:5" hidden="1">
      <c r="A121" s="267">
        <v>3000</v>
      </c>
      <c r="B121" s="280" t="s">
        <v>340</v>
      </c>
      <c r="C121" s="222">
        <v>20000</v>
      </c>
      <c r="D121" s="227">
        <v>20000</v>
      </c>
      <c r="E121" s="224">
        <f t="shared" si="3"/>
        <v>100</v>
      </c>
    </row>
    <row r="122" spans="1:5" hidden="1">
      <c r="A122" s="361">
        <v>3020</v>
      </c>
      <c r="B122" s="221" t="s">
        <v>221</v>
      </c>
      <c r="C122" s="222">
        <v>11750</v>
      </c>
      <c r="D122" s="227">
        <v>5775.45</v>
      </c>
      <c r="E122" s="224">
        <f t="shared" si="3"/>
        <v>49.15276595744681</v>
      </c>
    </row>
    <row r="123" spans="1:5" hidden="1">
      <c r="A123" s="361">
        <v>3020</v>
      </c>
      <c r="B123" s="221" t="s">
        <v>221</v>
      </c>
      <c r="C123" s="222">
        <v>14000</v>
      </c>
      <c r="D123" s="227">
        <v>3023.3</v>
      </c>
      <c r="E123" s="224">
        <f t="shared" si="3"/>
        <v>21.594999999999999</v>
      </c>
    </row>
    <row r="124" spans="1:5" hidden="1">
      <c r="A124" s="361">
        <v>3020</v>
      </c>
      <c r="B124" s="221" t="s">
        <v>221</v>
      </c>
      <c r="C124" s="222">
        <v>1384</v>
      </c>
      <c r="D124" s="227">
        <v>510</v>
      </c>
      <c r="E124" s="224">
        <f t="shared" si="3"/>
        <v>36.849710982658962</v>
      </c>
    </row>
    <row r="125" spans="1:5" hidden="1">
      <c r="A125" s="361">
        <v>3020</v>
      </c>
      <c r="B125" s="221" t="s">
        <v>221</v>
      </c>
      <c r="C125" s="222">
        <v>1018</v>
      </c>
      <c r="D125" s="229">
        <v>0</v>
      </c>
      <c r="E125" s="224">
        <f t="shared" si="3"/>
        <v>0</v>
      </c>
    </row>
    <row r="126" spans="1:5" hidden="1">
      <c r="A126" s="361">
        <v>3020</v>
      </c>
      <c r="B126" s="221" t="s">
        <v>221</v>
      </c>
      <c r="C126" s="222">
        <v>18560</v>
      </c>
      <c r="D126" s="227">
        <v>6094.57</v>
      </c>
      <c r="E126" s="224">
        <f t="shared" si="3"/>
        <v>32.837122844827583</v>
      </c>
    </row>
    <row r="127" spans="1:5" hidden="1">
      <c r="A127" s="361">
        <v>3020</v>
      </c>
      <c r="B127" s="221" t="s">
        <v>221</v>
      </c>
      <c r="C127" s="222">
        <v>10292</v>
      </c>
      <c r="D127" s="227">
        <v>4608</v>
      </c>
      <c r="E127" s="224">
        <f t="shared" si="3"/>
        <v>44.772638942868248</v>
      </c>
    </row>
    <row r="128" spans="1:5" hidden="1">
      <c r="A128" s="369">
        <v>3020</v>
      </c>
      <c r="B128" s="221" t="s">
        <v>221</v>
      </c>
      <c r="C128" s="222">
        <v>7417</v>
      </c>
      <c r="D128" s="227">
        <v>5237.32</v>
      </c>
      <c r="E128" s="224">
        <f t="shared" si="3"/>
        <v>70.61237697182149</v>
      </c>
    </row>
    <row r="129" spans="1:5" hidden="1">
      <c r="A129" s="361">
        <v>3020</v>
      </c>
      <c r="B129" s="221" t="s">
        <v>221</v>
      </c>
      <c r="C129" s="222">
        <v>900</v>
      </c>
      <c r="D129" s="227">
        <v>426</v>
      </c>
      <c r="E129" s="224">
        <f t="shared" si="3"/>
        <v>47.333333333333336</v>
      </c>
    </row>
    <row r="130" spans="1:5" hidden="1">
      <c r="A130" s="361">
        <v>3020</v>
      </c>
      <c r="B130" s="221" t="s">
        <v>221</v>
      </c>
      <c r="C130" s="222">
        <v>818</v>
      </c>
      <c r="D130" s="227">
        <v>285.02</v>
      </c>
      <c r="E130" s="224">
        <f t="shared" si="3"/>
        <v>34.843520782396091</v>
      </c>
    </row>
    <row r="131" spans="1:5" hidden="1">
      <c r="A131" s="369">
        <v>3020</v>
      </c>
      <c r="B131" s="221" t="s">
        <v>221</v>
      </c>
      <c r="C131" s="222">
        <v>2864</v>
      </c>
      <c r="D131" s="227">
        <v>387.32</v>
      </c>
      <c r="E131" s="224">
        <f t="shared" si="3"/>
        <v>13.523743016759777</v>
      </c>
    </row>
    <row r="132" spans="1:5" hidden="1">
      <c r="A132" s="369">
        <v>3020</v>
      </c>
      <c r="B132" s="221" t="s">
        <v>221</v>
      </c>
      <c r="C132" s="222">
        <v>300</v>
      </c>
      <c r="D132" s="227">
        <v>142</v>
      </c>
      <c r="E132" s="224">
        <f t="shared" si="3"/>
        <v>47.333333333333336</v>
      </c>
    </row>
    <row r="133" spans="1:5" hidden="1">
      <c r="A133" s="361">
        <v>3020</v>
      </c>
      <c r="B133" s="221" t="s">
        <v>221</v>
      </c>
      <c r="C133" s="222">
        <v>9731</v>
      </c>
      <c r="D133" s="227">
        <v>4179.8500000000004</v>
      </c>
      <c r="E133" s="224">
        <f t="shared" si="3"/>
        <v>42.953961566128875</v>
      </c>
    </row>
    <row r="134" spans="1:5" hidden="1">
      <c r="A134" s="361">
        <v>3020</v>
      </c>
      <c r="B134" s="221" t="s">
        <v>221</v>
      </c>
      <c r="C134" s="222">
        <v>6167</v>
      </c>
      <c r="D134" s="227">
        <v>4076.32</v>
      </c>
      <c r="E134" s="224">
        <f t="shared" si="3"/>
        <v>66.09891357223934</v>
      </c>
    </row>
    <row r="135" spans="1:5" hidden="1">
      <c r="A135" s="369">
        <v>3020</v>
      </c>
      <c r="B135" s="221" t="s">
        <v>221</v>
      </c>
      <c r="C135" s="222">
        <v>300</v>
      </c>
      <c r="D135" s="227">
        <v>142</v>
      </c>
      <c r="E135" s="224">
        <f t="shared" si="3"/>
        <v>47.333333333333336</v>
      </c>
    </row>
    <row r="136" spans="1:5" hidden="1">
      <c r="A136" s="361">
        <v>3020</v>
      </c>
      <c r="B136" s="221" t="s">
        <v>221</v>
      </c>
      <c r="C136" s="222">
        <v>2034</v>
      </c>
      <c r="D136" s="350">
        <v>1964</v>
      </c>
      <c r="E136" s="224">
        <f t="shared" ref="E136:E167" si="4">D136*100/C136</f>
        <v>96.558505408062928</v>
      </c>
    </row>
    <row r="137" spans="1:5" hidden="1">
      <c r="A137" s="361">
        <v>3020</v>
      </c>
      <c r="B137" s="221" t="s">
        <v>221</v>
      </c>
      <c r="C137" s="222">
        <v>1104</v>
      </c>
      <c r="D137" s="227">
        <v>0</v>
      </c>
      <c r="E137" s="224">
        <f t="shared" si="4"/>
        <v>0</v>
      </c>
    </row>
    <row r="138" spans="1:5" hidden="1">
      <c r="A138" s="361">
        <v>3020</v>
      </c>
      <c r="B138" s="221" t="s">
        <v>221</v>
      </c>
      <c r="C138" s="222">
        <v>800</v>
      </c>
      <c r="D138" s="227">
        <v>731.75</v>
      </c>
      <c r="E138" s="224">
        <f t="shared" si="4"/>
        <v>91.46875</v>
      </c>
    </row>
    <row r="139" spans="1:5" hidden="1">
      <c r="A139" s="361">
        <v>3020</v>
      </c>
      <c r="B139" s="221" t="s">
        <v>221</v>
      </c>
      <c r="C139" s="222">
        <v>340</v>
      </c>
      <c r="D139" s="227">
        <v>0</v>
      </c>
      <c r="E139" s="224">
        <f t="shared" si="4"/>
        <v>0</v>
      </c>
    </row>
    <row r="140" spans="1:5" hidden="1">
      <c r="A140" s="361">
        <v>3020</v>
      </c>
      <c r="B140" s="221" t="s">
        <v>221</v>
      </c>
      <c r="C140" s="222">
        <v>5581</v>
      </c>
      <c r="D140" s="227">
        <v>3522.64</v>
      </c>
      <c r="E140" s="224">
        <f t="shared" si="4"/>
        <v>63.118437555993552</v>
      </c>
    </row>
    <row r="141" spans="1:5" hidden="1">
      <c r="A141" s="361">
        <v>3020</v>
      </c>
      <c r="B141" s="221" t="s">
        <v>221</v>
      </c>
      <c r="C141" s="222">
        <v>33727</v>
      </c>
      <c r="D141" s="227">
        <v>15958.66</v>
      </c>
      <c r="E141" s="224">
        <f t="shared" si="4"/>
        <v>47.317164289738194</v>
      </c>
    </row>
    <row r="142" spans="1:5" hidden="1">
      <c r="A142" s="369">
        <v>3030</v>
      </c>
      <c r="B142" s="221" t="s">
        <v>218</v>
      </c>
      <c r="C142" s="222">
        <v>247000</v>
      </c>
      <c r="D142" s="227">
        <v>118946.35</v>
      </c>
      <c r="E142" s="224">
        <f t="shared" si="4"/>
        <v>48.156417004048585</v>
      </c>
    </row>
    <row r="143" spans="1:5" hidden="1">
      <c r="A143" s="361">
        <v>3030</v>
      </c>
      <c r="B143" s="221" t="s">
        <v>218</v>
      </c>
      <c r="C143" s="222">
        <v>194400</v>
      </c>
      <c r="D143" s="227">
        <v>95560</v>
      </c>
      <c r="E143" s="224">
        <f t="shared" si="4"/>
        <v>49.156378600823047</v>
      </c>
    </row>
    <row r="144" spans="1:5" hidden="1">
      <c r="A144" s="369">
        <v>3040</v>
      </c>
      <c r="B144" s="248" t="s">
        <v>357</v>
      </c>
      <c r="C144" s="222">
        <v>5000</v>
      </c>
      <c r="D144" s="227">
        <v>0</v>
      </c>
      <c r="E144" s="224">
        <f t="shared" si="4"/>
        <v>0</v>
      </c>
    </row>
    <row r="145" spans="1:5" ht="22.5" hidden="1">
      <c r="A145" s="361">
        <v>3070</v>
      </c>
      <c r="B145" s="230" t="s">
        <v>256</v>
      </c>
      <c r="C145" s="222">
        <v>136115</v>
      </c>
      <c r="D145" s="227">
        <v>51509.279999999999</v>
      </c>
      <c r="E145" s="224">
        <f t="shared" si="4"/>
        <v>37.84247143959152</v>
      </c>
    </row>
    <row r="146" spans="1:5" hidden="1">
      <c r="A146" s="361">
        <v>3110</v>
      </c>
      <c r="B146" s="248" t="s">
        <v>292</v>
      </c>
      <c r="C146" s="222">
        <v>13200</v>
      </c>
      <c r="D146" s="227">
        <v>5835</v>
      </c>
      <c r="E146" s="224">
        <f t="shared" si="4"/>
        <v>44.204545454545453</v>
      </c>
    </row>
    <row r="147" spans="1:5" hidden="1">
      <c r="A147" s="361">
        <v>3110</v>
      </c>
      <c r="B147" s="248" t="s">
        <v>292</v>
      </c>
      <c r="C147" s="222">
        <v>2400</v>
      </c>
      <c r="D147" s="227">
        <v>1200</v>
      </c>
      <c r="E147" s="224">
        <f t="shared" si="4"/>
        <v>50</v>
      </c>
    </row>
    <row r="148" spans="1:5" hidden="1">
      <c r="A148" s="369">
        <v>3110</v>
      </c>
      <c r="B148" s="248" t="s">
        <v>292</v>
      </c>
      <c r="C148" s="222">
        <v>146015</v>
      </c>
      <c r="D148" s="227">
        <v>47549</v>
      </c>
      <c r="E148" s="224">
        <f t="shared" si="4"/>
        <v>32.564462555216927</v>
      </c>
    </row>
    <row r="149" spans="1:5" hidden="1">
      <c r="A149" s="267">
        <v>3110</v>
      </c>
      <c r="B149" s="268" t="s">
        <v>292</v>
      </c>
      <c r="C149" s="222">
        <v>1444158</v>
      </c>
      <c r="D149" s="227">
        <v>733545.23</v>
      </c>
      <c r="E149" s="224">
        <f t="shared" si="4"/>
        <v>50.793973374104496</v>
      </c>
    </row>
    <row r="150" spans="1:5" hidden="1">
      <c r="A150" s="369">
        <v>3110</v>
      </c>
      <c r="B150" s="248" t="s">
        <v>303</v>
      </c>
      <c r="C150" s="222">
        <v>15286</v>
      </c>
      <c r="D150" s="227">
        <v>12587.4</v>
      </c>
      <c r="E150" s="224">
        <f t="shared" si="4"/>
        <v>82.345937459112918</v>
      </c>
    </row>
    <row r="151" spans="1:5" hidden="1">
      <c r="A151" s="369">
        <v>3118</v>
      </c>
      <c r="B151" s="268" t="s">
        <v>292</v>
      </c>
      <c r="C151" s="222">
        <v>59589</v>
      </c>
      <c r="D151" s="227">
        <v>0</v>
      </c>
      <c r="E151" s="224">
        <f t="shared" si="4"/>
        <v>0</v>
      </c>
    </row>
    <row r="152" spans="1:5" hidden="1">
      <c r="A152" s="369">
        <v>3119</v>
      </c>
      <c r="B152" s="268" t="s">
        <v>292</v>
      </c>
      <c r="C152" s="222">
        <v>36613</v>
      </c>
      <c r="D152" s="227">
        <v>494.1</v>
      </c>
      <c r="E152" s="224">
        <f t="shared" si="4"/>
        <v>1.349520662059924</v>
      </c>
    </row>
    <row r="153" spans="1:5" hidden="1">
      <c r="A153" s="369">
        <v>3240</v>
      </c>
      <c r="B153" s="221" t="s">
        <v>277</v>
      </c>
      <c r="C153" s="222">
        <v>200</v>
      </c>
      <c r="D153" s="227">
        <v>200</v>
      </c>
      <c r="E153" s="224">
        <f t="shared" si="4"/>
        <v>100</v>
      </c>
    </row>
    <row r="154" spans="1:5" hidden="1">
      <c r="A154" s="369">
        <v>3240</v>
      </c>
      <c r="B154" s="221" t="s">
        <v>277</v>
      </c>
      <c r="C154" s="222">
        <v>200</v>
      </c>
      <c r="D154" s="227">
        <v>200</v>
      </c>
      <c r="E154" s="224">
        <f t="shared" si="4"/>
        <v>100</v>
      </c>
    </row>
    <row r="155" spans="1:5" hidden="1">
      <c r="A155" s="369">
        <v>3240</v>
      </c>
      <c r="B155" s="221" t="s">
        <v>277</v>
      </c>
      <c r="C155" s="222">
        <v>17300</v>
      </c>
      <c r="D155" s="227">
        <v>5900</v>
      </c>
      <c r="E155" s="224">
        <f t="shared" si="4"/>
        <v>34.104046242774565</v>
      </c>
    </row>
    <row r="156" spans="1:5" hidden="1">
      <c r="A156" s="361">
        <v>3240</v>
      </c>
      <c r="B156" s="230" t="s">
        <v>277</v>
      </c>
      <c r="C156" s="222">
        <v>6192</v>
      </c>
      <c r="D156" s="227">
        <v>6192</v>
      </c>
      <c r="E156" s="224">
        <f t="shared" si="4"/>
        <v>100</v>
      </c>
    </row>
    <row r="157" spans="1:5" hidden="1">
      <c r="A157" s="361">
        <v>3240</v>
      </c>
      <c r="B157" s="230" t="s">
        <v>277</v>
      </c>
      <c r="C157" s="222">
        <v>1548</v>
      </c>
      <c r="D157" s="227">
        <v>1548</v>
      </c>
      <c r="E157" s="224">
        <f t="shared" si="4"/>
        <v>100</v>
      </c>
    </row>
    <row r="158" spans="1:5" hidden="1">
      <c r="A158" s="369">
        <v>3240</v>
      </c>
      <c r="B158" s="248" t="s">
        <v>347</v>
      </c>
      <c r="C158" s="222">
        <v>2300</v>
      </c>
      <c r="D158" s="227">
        <v>2300</v>
      </c>
      <c r="E158" s="224">
        <f t="shared" si="4"/>
        <v>100</v>
      </c>
    </row>
    <row r="159" spans="1:5" hidden="1">
      <c r="A159" s="369">
        <v>3240</v>
      </c>
      <c r="B159" s="248" t="s">
        <v>277</v>
      </c>
      <c r="C159" s="222">
        <v>4800</v>
      </c>
      <c r="D159" s="227">
        <v>4800</v>
      </c>
      <c r="E159" s="224">
        <f t="shared" si="4"/>
        <v>100</v>
      </c>
    </row>
    <row r="160" spans="1:5" hidden="1">
      <c r="A160" s="369">
        <v>3240</v>
      </c>
      <c r="B160" s="248" t="s">
        <v>277</v>
      </c>
      <c r="C160" s="222">
        <v>4800</v>
      </c>
      <c r="D160" s="227">
        <v>4800</v>
      </c>
      <c r="E160" s="224">
        <f t="shared" si="4"/>
        <v>100</v>
      </c>
    </row>
    <row r="161" spans="1:5" hidden="1">
      <c r="A161" s="369">
        <v>4010</v>
      </c>
      <c r="B161" s="221" t="s">
        <v>222</v>
      </c>
      <c r="C161" s="222">
        <v>13650</v>
      </c>
      <c r="D161" s="227">
        <v>1950</v>
      </c>
      <c r="E161" s="224">
        <f t="shared" si="4"/>
        <v>14.285714285714286</v>
      </c>
    </row>
    <row r="162" spans="1:5" hidden="1">
      <c r="A162" s="369">
        <v>4010</v>
      </c>
      <c r="B162" s="221" t="s">
        <v>222</v>
      </c>
      <c r="C162" s="222">
        <v>535164</v>
      </c>
      <c r="D162" s="227">
        <v>230446.95</v>
      </c>
      <c r="E162" s="224">
        <f t="shared" si="4"/>
        <v>43.060996255353501</v>
      </c>
    </row>
    <row r="163" spans="1:5" hidden="1">
      <c r="A163" s="369">
        <v>4010</v>
      </c>
      <c r="B163" s="221" t="s">
        <v>222</v>
      </c>
      <c r="C163" s="222">
        <v>59448</v>
      </c>
      <c r="D163" s="227">
        <v>28890</v>
      </c>
      <c r="E163" s="224">
        <f t="shared" si="4"/>
        <v>48.597093257973356</v>
      </c>
    </row>
    <row r="164" spans="1:5" hidden="1">
      <c r="A164" s="369">
        <v>4010</v>
      </c>
      <c r="B164" s="221" t="s">
        <v>222</v>
      </c>
      <c r="C164" s="222">
        <v>86350</v>
      </c>
      <c r="D164" s="227">
        <v>43175</v>
      </c>
      <c r="E164" s="224">
        <f t="shared" si="4"/>
        <v>50</v>
      </c>
    </row>
    <row r="165" spans="1:5" hidden="1">
      <c r="A165" s="369">
        <v>4010</v>
      </c>
      <c r="B165" s="221" t="s">
        <v>222</v>
      </c>
      <c r="C165" s="222">
        <v>2090650</v>
      </c>
      <c r="D165" s="227">
        <v>1042096.05</v>
      </c>
      <c r="E165" s="224">
        <f t="shared" si="4"/>
        <v>49.845552818501424</v>
      </c>
    </row>
    <row r="166" spans="1:5" hidden="1">
      <c r="A166" s="369">
        <v>4010</v>
      </c>
      <c r="B166" s="221" t="s">
        <v>222</v>
      </c>
      <c r="C166" s="222">
        <f>721459</f>
        <v>721459</v>
      </c>
      <c r="D166" s="227">
        <v>331571.14</v>
      </c>
      <c r="E166" s="224">
        <f t="shared" si="4"/>
        <v>45.958417595455877</v>
      </c>
    </row>
    <row r="167" spans="1:5" hidden="1">
      <c r="A167" s="369">
        <v>4010</v>
      </c>
      <c r="B167" s="221" t="s">
        <v>344</v>
      </c>
      <c r="C167" s="222">
        <v>6565</v>
      </c>
      <c r="D167" s="227">
        <v>0</v>
      </c>
      <c r="E167" s="224">
        <f t="shared" si="4"/>
        <v>0</v>
      </c>
    </row>
    <row r="168" spans="1:5" hidden="1">
      <c r="A168" s="369">
        <v>4010</v>
      </c>
      <c r="B168" s="221" t="s">
        <v>222</v>
      </c>
      <c r="C168" s="222">
        <v>323750</v>
      </c>
      <c r="D168" s="227">
        <v>174243.92</v>
      </c>
      <c r="E168" s="224">
        <f t="shared" ref="E168:E194" si="5">D168*100/C168</f>
        <v>53.820515830115831</v>
      </c>
    </row>
    <row r="169" spans="1:5" hidden="1">
      <c r="A169" s="369">
        <v>4010</v>
      </c>
      <c r="B169" s="221" t="s">
        <v>222</v>
      </c>
      <c r="C169" s="222">
        <v>209084</v>
      </c>
      <c r="D169" s="227">
        <v>104712.4</v>
      </c>
      <c r="E169" s="224">
        <f t="shared" si="5"/>
        <v>50.081498345162707</v>
      </c>
    </row>
    <row r="170" spans="1:5" hidden="1">
      <c r="A170" s="369">
        <v>4010</v>
      </c>
      <c r="B170" s="221" t="s">
        <v>222</v>
      </c>
      <c r="C170" s="222">
        <v>4730</v>
      </c>
      <c r="D170" s="227">
        <v>0</v>
      </c>
      <c r="E170" s="224">
        <f t="shared" si="5"/>
        <v>0</v>
      </c>
    </row>
    <row r="171" spans="1:5" hidden="1">
      <c r="A171" s="369">
        <v>4010</v>
      </c>
      <c r="B171" s="221" t="s">
        <v>222</v>
      </c>
      <c r="C171" s="222">
        <v>1364844</v>
      </c>
      <c r="D171" s="227">
        <v>652780.85</v>
      </c>
      <c r="E171" s="224">
        <f t="shared" si="5"/>
        <v>47.828238978227546</v>
      </c>
    </row>
    <row r="172" spans="1:5" hidden="1">
      <c r="A172" s="369">
        <v>4010</v>
      </c>
      <c r="B172" s="221" t="s">
        <v>222</v>
      </c>
      <c r="C172" s="222">
        <v>477100</v>
      </c>
      <c r="D172" s="227">
        <v>249545.45</v>
      </c>
      <c r="E172" s="224">
        <f t="shared" si="5"/>
        <v>52.304642632571785</v>
      </c>
    </row>
    <row r="173" spans="1:5" hidden="1">
      <c r="A173" s="369">
        <v>4010</v>
      </c>
      <c r="B173" s="221" t="s">
        <v>222</v>
      </c>
      <c r="C173" s="222">
        <v>193540</v>
      </c>
      <c r="D173" s="227">
        <v>99298.559999999998</v>
      </c>
      <c r="E173" s="224">
        <f t="shared" si="5"/>
        <v>51.306479280768833</v>
      </c>
    </row>
    <row r="174" spans="1:5" hidden="1">
      <c r="A174" s="369">
        <v>4010</v>
      </c>
      <c r="B174" s="221" t="s">
        <v>222</v>
      </c>
      <c r="C174" s="222">
        <v>111093</v>
      </c>
      <c r="D174" s="227">
        <v>54435.519999999997</v>
      </c>
      <c r="E174" s="224">
        <f t="shared" si="5"/>
        <v>48.999954992663802</v>
      </c>
    </row>
    <row r="175" spans="1:5" hidden="1">
      <c r="A175" s="369">
        <v>4010</v>
      </c>
      <c r="B175" s="221" t="s">
        <v>222</v>
      </c>
      <c r="C175" s="222">
        <v>19682</v>
      </c>
      <c r="D175" s="227">
        <v>0</v>
      </c>
      <c r="E175" s="224">
        <f t="shared" si="5"/>
        <v>0</v>
      </c>
    </row>
    <row r="176" spans="1:5" hidden="1">
      <c r="A176" s="369">
        <v>4010</v>
      </c>
      <c r="B176" s="221" t="s">
        <v>222</v>
      </c>
      <c r="C176" s="222">
        <v>158580</v>
      </c>
      <c r="D176" s="227">
        <v>82149.64</v>
      </c>
      <c r="E176" s="224">
        <f t="shared" si="5"/>
        <v>51.803279102030523</v>
      </c>
    </row>
    <row r="177" spans="1:5" hidden="1">
      <c r="A177" s="369">
        <v>4010</v>
      </c>
      <c r="B177" s="221" t="s">
        <v>222</v>
      </c>
      <c r="C177" s="222">
        <v>64505</v>
      </c>
      <c r="D177" s="227">
        <v>33100.050000000003</v>
      </c>
      <c r="E177" s="224">
        <f t="shared" si="5"/>
        <v>51.313929152778861</v>
      </c>
    </row>
    <row r="178" spans="1:5" hidden="1">
      <c r="A178" s="369">
        <v>4010</v>
      </c>
      <c r="B178" s="248" t="s">
        <v>222</v>
      </c>
      <c r="C178" s="222">
        <v>1957</v>
      </c>
      <c r="D178" s="227">
        <v>0</v>
      </c>
      <c r="E178" s="224">
        <f t="shared" si="5"/>
        <v>0</v>
      </c>
    </row>
    <row r="179" spans="1:5" hidden="1">
      <c r="A179" s="369">
        <v>4010</v>
      </c>
      <c r="B179" s="248" t="s">
        <v>222</v>
      </c>
      <c r="C179" s="222">
        <v>1942586</v>
      </c>
      <c r="D179" s="227">
        <v>1009890.41</v>
      </c>
      <c r="E179" s="224">
        <f t="shared" si="5"/>
        <v>51.986908687697742</v>
      </c>
    </row>
    <row r="180" spans="1:5" hidden="1">
      <c r="A180" s="369">
        <v>4010</v>
      </c>
      <c r="B180" s="248" t="s">
        <v>222</v>
      </c>
      <c r="C180" s="222">
        <v>478149</v>
      </c>
      <c r="D180" s="227">
        <v>229890.8</v>
      </c>
      <c r="E180" s="224">
        <f t="shared" si="5"/>
        <v>48.079322554266554</v>
      </c>
    </row>
    <row r="181" spans="1:5" hidden="1">
      <c r="A181" s="369">
        <v>4010</v>
      </c>
      <c r="B181" s="221" t="s">
        <v>222</v>
      </c>
      <c r="C181" s="222">
        <v>64505</v>
      </c>
      <c r="D181" s="227">
        <v>33100.86</v>
      </c>
      <c r="E181" s="224">
        <f t="shared" si="5"/>
        <v>51.315184869389967</v>
      </c>
    </row>
    <row r="182" spans="1:5" hidden="1">
      <c r="A182" s="369">
        <v>4010</v>
      </c>
      <c r="B182" s="248" t="s">
        <v>222</v>
      </c>
      <c r="C182" s="222">
        <v>22859</v>
      </c>
      <c r="D182" s="227">
        <v>0</v>
      </c>
      <c r="E182" s="224">
        <f t="shared" si="5"/>
        <v>0</v>
      </c>
    </row>
    <row r="183" spans="1:5" hidden="1">
      <c r="A183" s="369">
        <v>4010</v>
      </c>
      <c r="B183" s="221" t="s">
        <v>222</v>
      </c>
      <c r="C183" s="222">
        <v>23368</v>
      </c>
      <c r="D183" s="227">
        <v>11302.31</v>
      </c>
      <c r="E183" s="224">
        <f t="shared" si="5"/>
        <v>48.366612461485794</v>
      </c>
    </row>
    <row r="184" spans="1:5" hidden="1">
      <c r="A184" s="369">
        <v>4010</v>
      </c>
      <c r="B184" s="221" t="s">
        <v>222</v>
      </c>
      <c r="C184" s="222">
        <v>48780</v>
      </c>
      <c r="D184" s="227">
        <v>19680.68</v>
      </c>
      <c r="E184" s="224">
        <f t="shared" si="5"/>
        <v>40.345797457974577</v>
      </c>
    </row>
    <row r="185" spans="1:5" hidden="1">
      <c r="A185" s="369">
        <v>4010</v>
      </c>
      <c r="B185" s="248" t="s">
        <v>222</v>
      </c>
      <c r="C185" s="222">
        <v>891710</v>
      </c>
      <c r="D185" s="227">
        <v>450373.65</v>
      </c>
      <c r="E185" s="224">
        <f t="shared" si="5"/>
        <v>50.506739859371322</v>
      </c>
    </row>
    <row r="186" spans="1:5" hidden="1">
      <c r="A186" s="369">
        <v>4010</v>
      </c>
      <c r="B186" s="248" t="s">
        <v>222</v>
      </c>
      <c r="C186" s="222">
        <v>35297</v>
      </c>
      <c r="D186" s="227">
        <v>14863.84</v>
      </c>
      <c r="E186" s="224">
        <f t="shared" si="5"/>
        <v>42.110774286766578</v>
      </c>
    </row>
    <row r="187" spans="1:5" hidden="1">
      <c r="A187" s="369">
        <v>4010</v>
      </c>
      <c r="B187" s="248" t="s">
        <v>222</v>
      </c>
      <c r="C187" s="222">
        <v>8552</v>
      </c>
      <c r="D187" s="227">
        <v>0</v>
      </c>
      <c r="E187" s="224">
        <f t="shared" si="5"/>
        <v>0</v>
      </c>
    </row>
    <row r="188" spans="1:5" hidden="1">
      <c r="A188" s="369">
        <v>4010</v>
      </c>
      <c r="B188" s="248" t="s">
        <v>222</v>
      </c>
      <c r="C188" s="222">
        <v>207083</v>
      </c>
      <c r="D188" s="227">
        <v>96134.19</v>
      </c>
      <c r="E188" s="224">
        <f t="shared" si="5"/>
        <v>46.423023618549081</v>
      </c>
    </row>
    <row r="189" spans="1:5" hidden="1">
      <c r="A189" s="369">
        <v>4010</v>
      </c>
      <c r="B189" s="248" t="s">
        <v>222</v>
      </c>
      <c r="C189" s="222">
        <v>92194</v>
      </c>
      <c r="D189" s="227">
        <v>56398.22</v>
      </c>
      <c r="E189" s="224">
        <f t="shared" si="5"/>
        <v>61.173416925179509</v>
      </c>
    </row>
    <row r="190" spans="1:5" hidden="1">
      <c r="A190" s="369">
        <v>4010</v>
      </c>
      <c r="B190" s="248" t="s">
        <v>222</v>
      </c>
      <c r="C190" s="222">
        <v>223647</v>
      </c>
      <c r="D190" s="227">
        <v>107434.22</v>
      </c>
      <c r="E190" s="224">
        <f t="shared" si="5"/>
        <v>48.037407163968219</v>
      </c>
    </row>
    <row r="191" spans="1:5" hidden="1">
      <c r="A191" s="361">
        <v>4010</v>
      </c>
      <c r="B191" s="248" t="s">
        <v>222</v>
      </c>
      <c r="C191" s="222">
        <v>29041</v>
      </c>
      <c r="D191" s="227">
        <v>12789.76</v>
      </c>
      <c r="E191" s="224">
        <f t="shared" si="5"/>
        <v>44.040356737026961</v>
      </c>
    </row>
    <row r="192" spans="1:5" hidden="1">
      <c r="A192" s="369">
        <v>4010</v>
      </c>
      <c r="B192" s="248" t="s">
        <v>222</v>
      </c>
      <c r="C192" s="222">
        <v>1094772</v>
      </c>
      <c r="D192" s="227">
        <v>496761.41</v>
      </c>
      <c r="E192" s="224">
        <f t="shared" si="5"/>
        <v>45.375786921843087</v>
      </c>
    </row>
    <row r="193" spans="1:5" hidden="1">
      <c r="A193" s="369">
        <v>4010</v>
      </c>
      <c r="B193" s="248" t="s">
        <v>222</v>
      </c>
      <c r="C193" s="222">
        <v>32624</v>
      </c>
      <c r="D193" s="227">
        <v>18819.04</v>
      </c>
      <c r="E193" s="224">
        <f t="shared" si="5"/>
        <v>57.684649337910741</v>
      </c>
    </row>
    <row r="194" spans="1:5" hidden="1">
      <c r="A194" s="369">
        <v>4010</v>
      </c>
      <c r="B194" s="248" t="s">
        <v>222</v>
      </c>
      <c r="C194" s="222">
        <v>436544</v>
      </c>
      <c r="D194" s="227">
        <v>208833.61</v>
      </c>
      <c r="E194" s="224">
        <f t="shared" si="5"/>
        <v>47.837929280897228</v>
      </c>
    </row>
    <row r="195" spans="1:5" hidden="1">
      <c r="A195" s="369">
        <v>4010</v>
      </c>
      <c r="B195" s="248" t="s">
        <v>222</v>
      </c>
      <c r="C195" s="222">
        <v>3887</v>
      </c>
      <c r="D195" s="227">
        <v>0</v>
      </c>
      <c r="E195" s="224">
        <v>0</v>
      </c>
    </row>
    <row r="196" spans="1:5" hidden="1">
      <c r="A196" s="369">
        <v>4010</v>
      </c>
      <c r="B196" s="248" t="s">
        <v>222</v>
      </c>
      <c r="C196" s="222">
        <v>195026</v>
      </c>
      <c r="D196" s="227">
        <v>105138.73</v>
      </c>
      <c r="E196" s="224">
        <f>D196*100/C196</f>
        <v>53.910109421307929</v>
      </c>
    </row>
    <row r="197" spans="1:5" hidden="1">
      <c r="A197" s="369">
        <v>4010</v>
      </c>
      <c r="B197" s="248" t="s">
        <v>222</v>
      </c>
      <c r="C197" s="222">
        <v>1850</v>
      </c>
      <c r="D197" s="227">
        <v>0</v>
      </c>
      <c r="E197" s="224">
        <v>0</v>
      </c>
    </row>
    <row r="198" spans="1:5" hidden="1">
      <c r="A198" s="369">
        <v>4010</v>
      </c>
      <c r="B198" s="248" t="s">
        <v>222</v>
      </c>
      <c r="C198" s="222">
        <v>95559</v>
      </c>
      <c r="D198" s="227">
        <v>59876.43</v>
      </c>
      <c r="E198" s="224">
        <f>D198*100/C198</f>
        <v>62.659121589803156</v>
      </c>
    </row>
    <row r="199" spans="1:5" hidden="1">
      <c r="A199" s="369">
        <v>4010</v>
      </c>
      <c r="B199" s="248" t="s">
        <v>222</v>
      </c>
      <c r="C199" s="222">
        <v>154971</v>
      </c>
      <c r="D199" s="227">
        <v>97233.16</v>
      </c>
      <c r="E199" s="224">
        <f>D199*100/C199</f>
        <v>62.742809945086499</v>
      </c>
    </row>
    <row r="200" spans="1:5" hidden="1">
      <c r="A200" s="369">
        <v>4010</v>
      </c>
      <c r="B200" s="248" t="s">
        <v>222</v>
      </c>
      <c r="C200" s="222">
        <v>2659</v>
      </c>
      <c r="D200" s="227">
        <v>0</v>
      </c>
      <c r="E200" s="224">
        <v>0</v>
      </c>
    </row>
    <row r="201" spans="1:5" hidden="1">
      <c r="A201" s="369">
        <v>4010</v>
      </c>
      <c r="B201" s="248" t="s">
        <v>222</v>
      </c>
      <c r="C201" s="222">
        <v>558247</v>
      </c>
      <c r="D201" s="227">
        <v>284662.26</v>
      </c>
      <c r="E201" s="224">
        <f t="shared" ref="E201:E264" si="6">D201*100/C201</f>
        <v>50.992170132575723</v>
      </c>
    </row>
    <row r="202" spans="1:5" hidden="1">
      <c r="A202" s="369">
        <v>4010</v>
      </c>
      <c r="B202" s="248" t="s">
        <v>222</v>
      </c>
      <c r="C202" s="222">
        <v>5082</v>
      </c>
      <c r="D202" s="227">
        <v>0</v>
      </c>
      <c r="E202" s="224">
        <f t="shared" si="6"/>
        <v>0</v>
      </c>
    </row>
    <row r="203" spans="1:5" hidden="1">
      <c r="A203" s="369">
        <v>4018</v>
      </c>
      <c r="B203" s="221" t="s">
        <v>222</v>
      </c>
      <c r="C203" s="222">
        <v>14625</v>
      </c>
      <c r="D203" s="227">
        <v>14625</v>
      </c>
      <c r="E203" s="224">
        <f t="shared" si="6"/>
        <v>100</v>
      </c>
    </row>
    <row r="204" spans="1:5" hidden="1">
      <c r="A204" s="369">
        <v>4018</v>
      </c>
      <c r="B204" s="248" t="s">
        <v>222</v>
      </c>
      <c r="C204" s="222">
        <v>49571</v>
      </c>
      <c r="D204" s="227">
        <v>0</v>
      </c>
      <c r="E204" s="224">
        <f t="shared" si="6"/>
        <v>0</v>
      </c>
    </row>
    <row r="205" spans="1:5" hidden="1">
      <c r="A205" s="369">
        <v>4018</v>
      </c>
      <c r="B205" s="248" t="s">
        <v>222</v>
      </c>
      <c r="C205" s="222">
        <v>10578</v>
      </c>
      <c r="D205" s="227">
        <v>2644.32</v>
      </c>
      <c r="E205" s="224">
        <f t="shared" si="6"/>
        <v>24.998298355076574</v>
      </c>
    </row>
    <row r="206" spans="1:5" hidden="1">
      <c r="A206" s="369">
        <v>4019</v>
      </c>
      <c r="B206" s="221" t="s">
        <v>222</v>
      </c>
      <c r="C206" s="222">
        <v>4875</v>
      </c>
      <c r="D206" s="227">
        <v>4875</v>
      </c>
      <c r="E206" s="224">
        <f t="shared" si="6"/>
        <v>100</v>
      </c>
    </row>
    <row r="207" spans="1:5" hidden="1">
      <c r="A207" s="369">
        <v>4019</v>
      </c>
      <c r="B207" s="248" t="s">
        <v>222</v>
      </c>
      <c r="C207" s="222">
        <v>622</v>
      </c>
      <c r="D207" s="227">
        <v>155.68</v>
      </c>
      <c r="E207" s="224">
        <f t="shared" si="6"/>
        <v>25.028938906752412</v>
      </c>
    </row>
    <row r="208" spans="1:5" hidden="1">
      <c r="A208" s="369">
        <v>4020</v>
      </c>
      <c r="B208" s="221" t="s">
        <v>248</v>
      </c>
      <c r="C208" s="222">
        <v>116927</v>
      </c>
      <c r="D208" s="227">
        <v>51611.51</v>
      </c>
      <c r="E208" s="224">
        <f t="shared" si="6"/>
        <v>44.139942015103443</v>
      </c>
    </row>
    <row r="209" spans="1:5" hidden="1">
      <c r="A209" s="369">
        <v>4020</v>
      </c>
      <c r="B209" s="221" t="s">
        <v>257</v>
      </c>
      <c r="C209" s="222">
        <v>25575</v>
      </c>
      <c r="D209" s="227">
        <v>15423.98</v>
      </c>
      <c r="E209" s="224">
        <f t="shared" si="6"/>
        <v>60.308817204301079</v>
      </c>
    </row>
    <row r="210" spans="1:5" hidden="1">
      <c r="A210" s="369">
        <v>4040</v>
      </c>
      <c r="B210" s="221" t="s">
        <v>223</v>
      </c>
      <c r="C210" s="222">
        <v>37200</v>
      </c>
      <c r="D210" s="227">
        <v>37199.160000000003</v>
      </c>
      <c r="E210" s="224">
        <f t="shared" si="6"/>
        <v>99.997741935483887</v>
      </c>
    </row>
    <row r="211" spans="1:5" hidden="1">
      <c r="A211" s="369">
        <v>4040</v>
      </c>
      <c r="B211" s="221" t="s">
        <v>223</v>
      </c>
      <c r="C211" s="222">
        <v>10660</v>
      </c>
      <c r="D211" s="227">
        <v>10659.46</v>
      </c>
      <c r="E211" s="224">
        <f t="shared" si="6"/>
        <v>99.994934333958724</v>
      </c>
    </row>
    <row r="212" spans="1:5" hidden="1">
      <c r="A212" s="369">
        <v>4040</v>
      </c>
      <c r="B212" s="221" t="s">
        <v>223</v>
      </c>
      <c r="C212" s="222">
        <v>156814</v>
      </c>
      <c r="D212" s="227">
        <v>156813.79999999999</v>
      </c>
      <c r="E212" s="224">
        <f t="shared" si="6"/>
        <v>99.999872460367044</v>
      </c>
    </row>
    <row r="213" spans="1:5" hidden="1">
      <c r="A213" s="369">
        <v>4040</v>
      </c>
      <c r="B213" s="221" t="s">
        <v>258</v>
      </c>
      <c r="C213" s="222">
        <v>1870</v>
      </c>
      <c r="D213" s="227">
        <v>1869.87</v>
      </c>
      <c r="E213" s="224">
        <f t="shared" si="6"/>
        <v>99.993048128342252</v>
      </c>
    </row>
    <row r="214" spans="1:5" hidden="1">
      <c r="A214" s="369">
        <v>4040</v>
      </c>
      <c r="B214" s="221" t="s">
        <v>223</v>
      </c>
      <c r="C214" s="222">
        <v>49105</v>
      </c>
      <c r="D214" s="227">
        <v>49105.57</v>
      </c>
      <c r="E214" s="224">
        <f t="shared" si="6"/>
        <v>100.00116077792485</v>
      </c>
    </row>
    <row r="215" spans="1:5" hidden="1">
      <c r="A215" s="369">
        <v>4040</v>
      </c>
      <c r="B215" s="221" t="s">
        <v>223</v>
      </c>
      <c r="C215" s="222">
        <v>28022</v>
      </c>
      <c r="D215" s="227">
        <v>28022.03</v>
      </c>
      <c r="E215" s="224">
        <f t="shared" si="6"/>
        <v>100.00010705873956</v>
      </c>
    </row>
    <row r="216" spans="1:5" hidden="1">
      <c r="A216" s="369">
        <v>4040</v>
      </c>
      <c r="B216" s="221" t="s">
        <v>223</v>
      </c>
      <c r="C216" s="222">
        <v>10354</v>
      </c>
      <c r="D216" s="227">
        <v>10354.11</v>
      </c>
      <c r="E216" s="224">
        <f t="shared" si="6"/>
        <v>100.00106239134634</v>
      </c>
    </row>
    <row r="217" spans="1:5" hidden="1">
      <c r="A217" s="369">
        <v>4040</v>
      </c>
      <c r="B217" s="221" t="s">
        <v>223</v>
      </c>
      <c r="C217" s="222">
        <v>101491</v>
      </c>
      <c r="D217" s="227">
        <v>101490.54</v>
      </c>
      <c r="E217" s="224">
        <f t="shared" si="6"/>
        <v>99.999546757840591</v>
      </c>
    </row>
    <row r="218" spans="1:5" hidden="1">
      <c r="A218" s="369">
        <v>4040</v>
      </c>
      <c r="B218" s="221" t="s">
        <v>223</v>
      </c>
      <c r="C218" s="222">
        <v>28470</v>
      </c>
      <c r="D218" s="227">
        <v>25499</v>
      </c>
      <c r="E218" s="224">
        <f t="shared" si="6"/>
        <v>89.564453811029153</v>
      </c>
    </row>
    <row r="219" spans="1:5" hidden="1">
      <c r="A219" s="369">
        <v>4040</v>
      </c>
      <c r="B219" s="221" t="s">
        <v>223</v>
      </c>
      <c r="C219" s="222">
        <v>17727</v>
      </c>
      <c r="D219" s="227">
        <v>17726.53</v>
      </c>
      <c r="E219" s="224">
        <f t="shared" si="6"/>
        <v>99.997348677159138</v>
      </c>
    </row>
    <row r="220" spans="1:5" hidden="1">
      <c r="A220" s="369">
        <v>4040</v>
      </c>
      <c r="B220" s="221" t="s">
        <v>223</v>
      </c>
      <c r="C220" s="222">
        <v>7809</v>
      </c>
      <c r="D220" s="227">
        <v>7808.83</v>
      </c>
      <c r="E220" s="224">
        <f t="shared" si="6"/>
        <v>99.997823024715075</v>
      </c>
    </row>
    <row r="221" spans="1:5" hidden="1">
      <c r="A221" s="369">
        <v>4040</v>
      </c>
      <c r="B221" s="221" t="s">
        <v>223</v>
      </c>
      <c r="C221" s="222">
        <v>11748</v>
      </c>
      <c r="D221" s="227">
        <v>11747.55</v>
      </c>
      <c r="E221" s="224">
        <f t="shared" si="6"/>
        <v>99.996169560776309</v>
      </c>
    </row>
    <row r="222" spans="1:5" hidden="1">
      <c r="A222" s="369">
        <v>4040</v>
      </c>
      <c r="B222" s="221" t="s">
        <v>223</v>
      </c>
      <c r="C222" s="222">
        <v>5909</v>
      </c>
      <c r="D222" s="227">
        <v>5908.84</v>
      </c>
      <c r="E222" s="224">
        <f t="shared" si="6"/>
        <v>99.997292266034862</v>
      </c>
    </row>
    <row r="223" spans="1:5" hidden="1">
      <c r="A223" s="369">
        <v>4040</v>
      </c>
      <c r="B223" s="248" t="s">
        <v>223</v>
      </c>
      <c r="C223" s="222">
        <v>3452</v>
      </c>
      <c r="D223" s="227">
        <v>3452</v>
      </c>
      <c r="E223" s="224">
        <f t="shared" si="6"/>
        <v>100</v>
      </c>
    </row>
    <row r="224" spans="1:5" hidden="1">
      <c r="A224" s="369">
        <v>4040</v>
      </c>
      <c r="B224" s="248" t="s">
        <v>223</v>
      </c>
      <c r="C224" s="222">
        <v>150181</v>
      </c>
      <c r="D224" s="227">
        <v>150180.69</v>
      </c>
      <c r="E224" s="224">
        <f t="shared" si="6"/>
        <v>99.999793582410561</v>
      </c>
    </row>
    <row r="225" spans="1:5" hidden="1">
      <c r="A225" s="369">
        <v>4040</v>
      </c>
      <c r="B225" s="248" t="s">
        <v>223</v>
      </c>
      <c r="C225" s="222">
        <v>46691</v>
      </c>
      <c r="D225" s="227">
        <v>41648.959999999999</v>
      </c>
      <c r="E225" s="224">
        <f t="shared" si="6"/>
        <v>89.2012593433424</v>
      </c>
    </row>
    <row r="226" spans="1:5" hidden="1">
      <c r="A226" s="369">
        <v>4040</v>
      </c>
      <c r="B226" s="221" t="s">
        <v>223</v>
      </c>
      <c r="C226" s="222">
        <v>5909</v>
      </c>
      <c r="D226" s="227">
        <v>5908.84</v>
      </c>
      <c r="E226" s="224">
        <f t="shared" si="6"/>
        <v>99.997292266034862</v>
      </c>
    </row>
    <row r="227" spans="1:5" hidden="1">
      <c r="A227" s="369">
        <v>4040</v>
      </c>
      <c r="B227" s="248" t="s">
        <v>223</v>
      </c>
      <c r="C227" s="222">
        <v>60052</v>
      </c>
      <c r="D227" s="227">
        <v>60051.48</v>
      </c>
      <c r="E227" s="224">
        <f t="shared" si="6"/>
        <v>99.999134083794047</v>
      </c>
    </row>
    <row r="228" spans="1:5" hidden="1">
      <c r="A228" s="369">
        <v>4040</v>
      </c>
      <c r="B228" s="248" t="s">
        <v>223</v>
      </c>
      <c r="C228" s="222">
        <v>2308</v>
      </c>
      <c r="D228" s="227">
        <v>2307.77</v>
      </c>
      <c r="E228" s="224">
        <f t="shared" si="6"/>
        <v>99.990034662045062</v>
      </c>
    </row>
    <row r="229" spans="1:5" hidden="1">
      <c r="A229" s="369">
        <v>4040</v>
      </c>
      <c r="B229" s="248" t="s">
        <v>223</v>
      </c>
      <c r="C229" s="222">
        <v>13580</v>
      </c>
      <c r="D229" s="227">
        <v>13579.98</v>
      </c>
      <c r="E229" s="224">
        <f t="shared" si="6"/>
        <v>99.999852724594987</v>
      </c>
    </row>
    <row r="230" spans="1:5" hidden="1">
      <c r="A230" s="369">
        <v>4040</v>
      </c>
      <c r="B230" s="248" t="s">
        <v>223</v>
      </c>
      <c r="C230" s="222">
        <v>5780</v>
      </c>
      <c r="D230" s="227">
        <v>4979.37</v>
      </c>
      <c r="E230" s="224">
        <f t="shared" si="6"/>
        <v>86.148269896193767</v>
      </c>
    </row>
    <row r="231" spans="1:5" hidden="1">
      <c r="A231" s="369">
        <v>4040</v>
      </c>
      <c r="B231" s="248" t="s">
        <v>223</v>
      </c>
      <c r="C231" s="222">
        <v>15949</v>
      </c>
      <c r="D231" s="227">
        <v>15948.78</v>
      </c>
      <c r="E231" s="224">
        <f t="shared" si="6"/>
        <v>99.998620603172611</v>
      </c>
    </row>
    <row r="232" spans="1:5" hidden="1">
      <c r="A232" s="361">
        <v>4040</v>
      </c>
      <c r="B232" s="248" t="s">
        <v>223</v>
      </c>
      <c r="C232" s="222">
        <v>2133</v>
      </c>
      <c r="D232" s="227">
        <v>2132.8200000000002</v>
      </c>
      <c r="E232" s="224">
        <f t="shared" si="6"/>
        <v>99.991561181434619</v>
      </c>
    </row>
    <row r="233" spans="1:5" hidden="1">
      <c r="A233" s="369">
        <v>4040</v>
      </c>
      <c r="B233" s="248" t="s">
        <v>223</v>
      </c>
      <c r="C233" s="222">
        <v>72668</v>
      </c>
      <c r="D233" s="227">
        <v>72667.39</v>
      </c>
      <c r="E233" s="224">
        <f t="shared" si="6"/>
        <v>99.999160565861175</v>
      </c>
    </row>
    <row r="234" spans="1:5" hidden="1">
      <c r="A234" s="369">
        <v>4040</v>
      </c>
      <c r="B234" s="248" t="s">
        <v>223</v>
      </c>
      <c r="C234" s="222">
        <v>29483</v>
      </c>
      <c r="D234" s="227">
        <v>29482.95</v>
      </c>
      <c r="E234" s="224">
        <f t="shared" si="6"/>
        <v>99.999830410745176</v>
      </c>
    </row>
    <row r="235" spans="1:5" hidden="1">
      <c r="A235" s="369">
        <v>4040</v>
      </c>
      <c r="B235" s="248" t="s">
        <v>223</v>
      </c>
      <c r="C235" s="222">
        <v>15284</v>
      </c>
      <c r="D235" s="227">
        <v>15284.28</v>
      </c>
      <c r="E235" s="224">
        <f t="shared" si="6"/>
        <v>100.00183198115677</v>
      </c>
    </row>
    <row r="236" spans="1:5" hidden="1">
      <c r="A236" s="369">
        <v>4040</v>
      </c>
      <c r="B236" s="248" t="s">
        <v>223</v>
      </c>
      <c r="C236" s="222">
        <v>7064</v>
      </c>
      <c r="D236" s="227">
        <v>7064.26</v>
      </c>
      <c r="E236" s="224">
        <f t="shared" si="6"/>
        <v>100.00368063420159</v>
      </c>
    </row>
    <row r="237" spans="1:5" hidden="1">
      <c r="A237" s="369">
        <v>4040</v>
      </c>
      <c r="B237" s="248" t="s">
        <v>223</v>
      </c>
      <c r="C237" s="222">
        <v>19513</v>
      </c>
      <c r="D237" s="227">
        <v>17848.78</v>
      </c>
      <c r="E237" s="224">
        <f t="shared" si="6"/>
        <v>91.471224311997133</v>
      </c>
    </row>
    <row r="238" spans="1:5" hidden="1">
      <c r="A238" s="233">
        <v>4040</v>
      </c>
      <c r="B238" s="248" t="s">
        <v>223</v>
      </c>
      <c r="C238" s="222">
        <v>42046</v>
      </c>
      <c r="D238" s="227">
        <v>42045.89</v>
      </c>
      <c r="E238" s="224">
        <f t="shared" si="6"/>
        <v>99.999738381772346</v>
      </c>
    </row>
    <row r="239" spans="1:5" hidden="1">
      <c r="A239" s="233">
        <v>4050</v>
      </c>
      <c r="B239" s="221" t="s">
        <v>259</v>
      </c>
      <c r="C239" s="222">
        <v>1774035</v>
      </c>
      <c r="D239" s="227">
        <v>857085.74</v>
      </c>
      <c r="E239" s="224">
        <f t="shared" si="6"/>
        <v>48.312786388092682</v>
      </c>
    </row>
    <row r="240" spans="1:5" hidden="1">
      <c r="A240" s="369">
        <v>4060</v>
      </c>
      <c r="B240" s="221" t="s">
        <v>260</v>
      </c>
      <c r="C240" s="222">
        <v>243870</v>
      </c>
      <c r="D240" s="227">
        <v>93892.45</v>
      </c>
      <c r="E240" s="224">
        <f t="shared" si="6"/>
        <v>38.501025136343131</v>
      </c>
    </row>
    <row r="241" spans="1:5" hidden="1">
      <c r="A241" s="369">
        <v>4070</v>
      </c>
      <c r="B241" s="221" t="s">
        <v>261</v>
      </c>
      <c r="C241" s="222">
        <v>147777</v>
      </c>
      <c r="D241" s="227">
        <v>114837.8</v>
      </c>
      <c r="E241" s="224">
        <f t="shared" si="6"/>
        <v>77.710198474728813</v>
      </c>
    </row>
    <row r="242" spans="1:5" ht="22.5" hidden="1">
      <c r="A242" s="369">
        <v>4080</v>
      </c>
      <c r="B242" s="230" t="s">
        <v>262</v>
      </c>
      <c r="C242" s="222">
        <v>40000</v>
      </c>
      <c r="D242" s="227">
        <v>6465</v>
      </c>
      <c r="E242" s="224">
        <f t="shared" si="6"/>
        <v>16.162500000000001</v>
      </c>
    </row>
    <row r="243" spans="1:5" hidden="1">
      <c r="A243" s="369">
        <v>4110</v>
      </c>
      <c r="B243" s="221" t="s">
        <v>224</v>
      </c>
      <c r="C243" s="222">
        <v>5006</v>
      </c>
      <c r="D243" s="227">
        <v>3238.95</v>
      </c>
      <c r="E243" s="224">
        <f t="shared" si="6"/>
        <v>64.701358369956054</v>
      </c>
    </row>
    <row r="244" spans="1:5" hidden="1">
      <c r="A244" s="371">
        <v>4110</v>
      </c>
      <c r="B244" s="332" t="s">
        <v>224</v>
      </c>
      <c r="C244" s="277">
        <v>86316</v>
      </c>
      <c r="D244" s="278">
        <v>34988.379999999997</v>
      </c>
      <c r="E244" s="224">
        <f t="shared" si="6"/>
        <v>40.535219426294077</v>
      </c>
    </row>
    <row r="245" spans="1:5" s="42" customFormat="1" hidden="1">
      <c r="A245" s="371">
        <v>4110</v>
      </c>
      <c r="B245" s="332" t="s">
        <v>224</v>
      </c>
      <c r="C245" s="277">
        <v>32307</v>
      </c>
      <c r="D245" s="278">
        <v>14149.09</v>
      </c>
      <c r="E245" s="224">
        <f t="shared" si="6"/>
        <v>43.795740861113693</v>
      </c>
    </row>
    <row r="246" spans="1:5" s="42" customFormat="1" hidden="1">
      <c r="A246" s="371">
        <v>4110</v>
      </c>
      <c r="B246" s="332" t="s">
        <v>224</v>
      </c>
      <c r="C246" s="277">
        <v>13036</v>
      </c>
      <c r="D246" s="278">
        <v>6518</v>
      </c>
      <c r="E246" s="224">
        <f t="shared" si="6"/>
        <v>50</v>
      </c>
    </row>
    <row r="247" spans="1:5" s="42" customFormat="1" hidden="1">
      <c r="A247" s="371">
        <v>4110</v>
      </c>
      <c r="B247" s="332" t="s">
        <v>224</v>
      </c>
      <c r="C247" s="277">
        <v>326111</v>
      </c>
      <c r="D247" s="278">
        <v>174854.22</v>
      </c>
      <c r="E247" s="224">
        <f t="shared" si="6"/>
        <v>53.618007365590245</v>
      </c>
    </row>
    <row r="248" spans="1:5" hidden="1">
      <c r="A248" s="369">
        <v>4110</v>
      </c>
      <c r="B248" s="221" t="s">
        <v>224</v>
      </c>
      <c r="C248" s="222">
        <v>333</v>
      </c>
      <c r="D248" s="227">
        <v>332.2</v>
      </c>
      <c r="E248" s="224">
        <f t="shared" si="6"/>
        <v>99.75975975975976</v>
      </c>
    </row>
    <row r="249" spans="1:5" hidden="1">
      <c r="A249" s="369">
        <v>4110</v>
      </c>
      <c r="B249" s="221" t="s">
        <v>224</v>
      </c>
      <c r="C249" s="222">
        <v>5208</v>
      </c>
      <c r="D249" s="227">
        <v>2777.36</v>
      </c>
      <c r="E249" s="224">
        <f t="shared" si="6"/>
        <v>53.32872503840246</v>
      </c>
    </row>
    <row r="250" spans="1:5" hidden="1">
      <c r="A250" s="369">
        <v>4110</v>
      </c>
      <c r="B250" s="221" t="s">
        <v>224</v>
      </c>
      <c r="C250" s="222">
        <v>114615</v>
      </c>
      <c r="D250" s="227">
        <v>58262.06</v>
      </c>
      <c r="E250" s="224">
        <f t="shared" si="6"/>
        <v>50.832840378658986</v>
      </c>
    </row>
    <row r="251" spans="1:5" hidden="1">
      <c r="A251" s="369">
        <v>4110</v>
      </c>
      <c r="B251" s="221" t="s">
        <v>224</v>
      </c>
      <c r="C251" s="222">
        <v>52222</v>
      </c>
      <c r="D251" s="227">
        <v>27575.52</v>
      </c>
      <c r="E251" s="224">
        <f t="shared" si="6"/>
        <v>52.804411933667801</v>
      </c>
    </row>
    <row r="252" spans="1:5" hidden="1">
      <c r="A252" s="369">
        <v>4110</v>
      </c>
      <c r="B252" s="221" t="s">
        <v>224</v>
      </c>
      <c r="C252" s="222">
        <v>33183</v>
      </c>
      <c r="D252" s="227">
        <v>22591.96</v>
      </c>
      <c r="E252" s="224">
        <f t="shared" si="6"/>
        <v>68.08293403248652</v>
      </c>
    </row>
    <row r="253" spans="1:5" hidden="1">
      <c r="A253" s="369">
        <v>4110</v>
      </c>
      <c r="B253" s="221" t="s">
        <v>224</v>
      </c>
      <c r="C253" s="222">
        <v>219776</v>
      </c>
      <c r="D253" s="227">
        <v>113707.27</v>
      </c>
      <c r="E253" s="224">
        <f t="shared" si="6"/>
        <v>51.737801215783342</v>
      </c>
    </row>
    <row r="254" spans="1:5" hidden="1">
      <c r="A254" s="369">
        <v>4110</v>
      </c>
      <c r="B254" s="221" t="s">
        <v>224</v>
      </c>
      <c r="C254" s="222">
        <v>75540</v>
      </c>
      <c r="D254" s="227">
        <v>39930.43</v>
      </c>
      <c r="E254" s="224">
        <f t="shared" si="6"/>
        <v>52.859981466772574</v>
      </c>
    </row>
    <row r="255" spans="1:5" hidden="1">
      <c r="A255" s="369">
        <v>4110</v>
      </c>
      <c r="B255" s="221" t="s">
        <v>224</v>
      </c>
      <c r="C255" s="222">
        <v>31635</v>
      </c>
      <c r="D255" s="227">
        <v>16067.35</v>
      </c>
      <c r="E255" s="224">
        <f t="shared" si="6"/>
        <v>50.789789789789786</v>
      </c>
    </row>
    <row r="256" spans="1:5" hidden="1">
      <c r="A256" s="369">
        <v>4110</v>
      </c>
      <c r="B256" s="221" t="s">
        <v>224</v>
      </c>
      <c r="C256" s="222">
        <v>18382</v>
      </c>
      <c r="D256" s="227">
        <v>9179.09</v>
      </c>
      <c r="E256" s="224">
        <f t="shared" si="6"/>
        <v>49.935208356000437</v>
      </c>
    </row>
    <row r="257" spans="1:5" hidden="1">
      <c r="A257" s="369">
        <v>4110</v>
      </c>
      <c r="B257" s="221" t="s">
        <v>224</v>
      </c>
      <c r="C257" s="222">
        <v>26838</v>
      </c>
      <c r="D257" s="227">
        <v>13396.9</v>
      </c>
      <c r="E257" s="224">
        <f t="shared" si="6"/>
        <v>49.917654072583652</v>
      </c>
    </row>
    <row r="258" spans="1:5" hidden="1">
      <c r="A258" s="369">
        <v>4110</v>
      </c>
      <c r="B258" s="221" t="s">
        <v>224</v>
      </c>
      <c r="C258" s="222">
        <v>10545</v>
      </c>
      <c r="D258" s="227">
        <v>5355.34</v>
      </c>
      <c r="E258" s="224">
        <f t="shared" si="6"/>
        <v>50.785585585585586</v>
      </c>
    </row>
    <row r="259" spans="1:5" hidden="1">
      <c r="A259" s="369">
        <v>4110</v>
      </c>
      <c r="B259" s="248" t="s">
        <v>224</v>
      </c>
      <c r="C259" s="222">
        <v>525</v>
      </c>
      <c r="D259" s="227">
        <v>525</v>
      </c>
      <c r="E259" s="224">
        <f t="shared" si="6"/>
        <v>100</v>
      </c>
    </row>
    <row r="260" spans="1:5" hidden="1">
      <c r="A260" s="369">
        <v>4110</v>
      </c>
      <c r="B260" s="248" t="s">
        <v>224</v>
      </c>
      <c r="C260" s="222">
        <v>311856</v>
      </c>
      <c r="D260" s="227">
        <v>173243.29</v>
      </c>
      <c r="E260" s="224">
        <f t="shared" si="6"/>
        <v>55.552335052075314</v>
      </c>
    </row>
    <row r="261" spans="1:5" hidden="1">
      <c r="A261" s="369">
        <v>4110</v>
      </c>
      <c r="B261" s="248" t="s">
        <v>224</v>
      </c>
      <c r="C261" s="222">
        <v>78473</v>
      </c>
      <c r="D261" s="227">
        <v>39594.980000000003</v>
      </c>
      <c r="E261" s="224">
        <f t="shared" si="6"/>
        <v>50.456819543027542</v>
      </c>
    </row>
    <row r="262" spans="1:5" hidden="1">
      <c r="A262" s="369">
        <v>4110</v>
      </c>
      <c r="B262" s="221" t="s">
        <v>224</v>
      </c>
      <c r="C262" s="222">
        <v>10545</v>
      </c>
      <c r="D262" s="227">
        <v>5355.2</v>
      </c>
      <c r="E262" s="224">
        <f t="shared" si="6"/>
        <v>50.784257942152678</v>
      </c>
    </row>
    <row r="263" spans="1:5" hidden="1">
      <c r="A263" s="369">
        <v>4110</v>
      </c>
      <c r="B263" s="221" t="s">
        <v>224</v>
      </c>
      <c r="C263" s="222">
        <v>4076</v>
      </c>
      <c r="D263" s="227">
        <v>2291.6</v>
      </c>
      <c r="E263" s="224">
        <f t="shared" si="6"/>
        <v>56.221786064769383</v>
      </c>
    </row>
    <row r="264" spans="1:5" hidden="1">
      <c r="A264" s="369">
        <v>4110</v>
      </c>
      <c r="B264" s="221" t="s">
        <v>224</v>
      </c>
      <c r="C264" s="222">
        <v>7322</v>
      </c>
      <c r="D264" s="227">
        <v>4679</v>
      </c>
      <c r="E264" s="224">
        <f t="shared" si="6"/>
        <v>63.90330510789402</v>
      </c>
    </row>
    <row r="265" spans="1:5" hidden="1">
      <c r="A265" s="369">
        <v>4110</v>
      </c>
      <c r="B265" s="248" t="s">
        <v>224</v>
      </c>
      <c r="C265" s="222">
        <v>1101</v>
      </c>
      <c r="D265" s="227">
        <v>0</v>
      </c>
      <c r="E265" s="224">
        <f t="shared" ref="E265:E328" si="7">D265*100/C265</f>
        <v>0</v>
      </c>
    </row>
    <row r="266" spans="1:5" hidden="1">
      <c r="A266" s="369">
        <v>4110</v>
      </c>
      <c r="B266" s="248" t="s">
        <v>224</v>
      </c>
      <c r="C266" s="222">
        <v>148920</v>
      </c>
      <c r="D266" s="227">
        <v>77781.83</v>
      </c>
      <c r="E266" s="224">
        <f t="shared" si="7"/>
        <v>52.230613752350258</v>
      </c>
    </row>
    <row r="267" spans="1:5" hidden="1">
      <c r="A267" s="369">
        <v>4110</v>
      </c>
      <c r="B267" s="248" t="s">
        <v>224</v>
      </c>
      <c r="C267" s="222">
        <v>5668</v>
      </c>
      <c r="D267" s="227">
        <v>2833.5</v>
      </c>
      <c r="E267" s="224">
        <f t="shared" si="7"/>
        <v>49.991178546224418</v>
      </c>
    </row>
    <row r="268" spans="1:5" hidden="1">
      <c r="A268" s="369">
        <v>4110</v>
      </c>
      <c r="B268" s="248" t="s">
        <v>224</v>
      </c>
      <c r="C268" s="222">
        <v>36406</v>
      </c>
      <c r="D268" s="227">
        <v>17187.5</v>
      </c>
      <c r="E268" s="224">
        <f t="shared" si="7"/>
        <v>47.210624622315002</v>
      </c>
    </row>
    <row r="269" spans="1:5" hidden="1">
      <c r="A269" s="369">
        <v>4110</v>
      </c>
      <c r="B269" s="248" t="s">
        <v>224</v>
      </c>
      <c r="C269" s="222">
        <v>17087</v>
      </c>
      <c r="D269" s="227">
        <v>7753.03</v>
      </c>
      <c r="E269" s="224">
        <f t="shared" si="7"/>
        <v>45.373851466026807</v>
      </c>
    </row>
    <row r="270" spans="1:5" hidden="1">
      <c r="A270" s="369">
        <v>4110</v>
      </c>
      <c r="B270" s="248" t="s">
        <v>224</v>
      </c>
      <c r="C270" s="222">
        <v>18182</v>
      </c>
      <c r="D270" s="227">
        <v>8028.69</v>
      </c>
      <c r="E270" s="224">
        <f t="shared" si="7"/>
        <v>44.157353426465733</v>
      </c>
    </row>
    <row r="271" spans="1:5" hidden="1">
      <c r="A271" s="369">
        <v>4110</v>
      </c>
      <c r="B271" s="248" t="s">
        <v>224</v>
      </c>
      <c r="C271" s="222">
        <v>36658</v>
      </c>
      <c r="D271" s="227">
        <v>20568.53</v>
      </c>
      <c r="E271" s="224">
        <f t="shared" si="7"/>
        <v>56.109253096186372</v>
      </c>
    </row>
    <row r="272" spans="1:5" hidden="1">
      <c r="A272" s="369">
        <v>4110</v>
      </c>
      <c r="B272" s="248" t="s">
        <v>224</v>
      </c>
      <c r="C272" s="222">
        <v>7695</v>
      </c>
      <c r="D272" s="227">
        <v>2520.81</v>
      </c>
      <c r="E272" s="224">
        <f t="shared" si="7"/>
        <v>32.759064327485383</v>
      </c>
    </row>
    <row r="273" spans="1:5" hidden="1">
      <c r="A273" s="369">
        <v>4110</v>
      </c>
      <c r="B273" s="248" t="s">
        <v>224</v>
      </c>
      <c r="C273" s="222">
        <v>183220</v>
      </c>
      <c r="D273" s="227">
        <v>83463.25</v>
      </c>
      <c r="E273" s="224">
        <f t="shared" si="7"/>
        <v>45.553569479314483</v>
      </c>
    </row>
    <row r="274" spans="1:5" hidden="1">
      <c r="A274" s="369">
        <v>4110</v>
      </c>
      <c r="B274" s="248" t="s">
        <v>224</v>
      </c>
      <c r="C274" s="222">
        <v>6376</v>
      </c>
      <c r="D274" s="227">
        <v>3377.19</v>
      </c>
      <c r="E274" s="224">
        <f t="shared" si="7"/>
        <v>52.967220828105397</v>
      </c>
    </row>
    <row r="275" spans="1:5" hidden="1">
      <c r="A275" s="369">
        <v>4110</v>
      </c>
      <c r="B275" s="248" t="s">
        <v>224</v>
      </c>
      <c r="C275" s="222">
        <v>75594</v>
      </c>
      <c r="D275" s="227">
        <v>33250.400000000001</v>
      </c>
      <c r="E275" s="224">
        <f t="shared" si="7"/>
        <v>43.985501494827631</v>
      </c>
    </row>
    <row r="276" spans="1:5" hidden="1">
      <c r="A276" s="370">
        <v>4110</v>
      </c>
      <c r="B276" s="281" t="s">
        <v>224</v>
      </c>
      <c r="C276" s="260">
        <v>31551</v>
      </c>
      <c r="D276" s="227">
        <v>16754.43</v>
      </c>
      <c r="E276" s="224">
        <f t="shared" si="7"/>
        <v>53.102690881430064</v>
      </c>
    </row>
    <row r="277" spans="1:5" hidden="1">
      <c r="A277" s="369">
        <v>4110</v>
      </c>
      <c r="B277" s="248" t="s">
        <v>224</v>
      </c>
      <c r="C277" s="222">
        <v>14324</v>
      </c>
      <c r="D277" s="227">
        <v>8552.9500000000007</v>
      </c>
      <c r="E277" s="224">
        <f t="shared" si="7"/>
        <v>59.710625523596768</v>
      </c>
    </row>
    <row r="278" spans="1:5" hidden="1">
      <c r="A278" s="371">
        <v>4110</v>
      </c>
      <c r="B278" s="276" t="s">
        <v>224</v>
      </c>
      <c r="C278" s="277">
        <v>26450</v>
      </c>
      <c r="D278" s="227">
        <v>15354.41</v>
      </c>
      <c r="E278" s="224">
        <f t="shared" si="7"/>
        <v>58.050699432892252</v>
      </c>
    </row>
    <row r="279" spans="1:5" hidden="1">
      <c r="A279" s="369">
        <v>4110</v>
      </c>
      <c r="B279" s="248" t="s">
        <v>224</v>
      </c>
      <c r="C279" s="222">
        <v>89755</v>
      </c>
      <c r="D279" s="227">
        <v>46686.45</v>
      </c>
      <c r="E279" s="224">
        <f t="shared" si="7"/>
        <v>52.015430895214749</v>
      </c>
    </row>
    <row r="280" spans="1:5" hidden="1">
      <c r="A280" s="369">
        <v>4118</v>
      </c>
      <c r="B280" s="248" t="s">
        <v>224</v>
      </c>
      <c r="C280" s="222">
        <v>7485</v>
      </c>
      <c r="D280" s="227">
        <v>0</v>
      </c>
      <c r="E280" s="224">
        <f t="shared" si="7"/>
        <v>0</v>
      </c>
    </row>
    <row r="281" spans="1:5" hidden="1">
      <c r="A281" s="369">
        <v>4118</v>
      </c>
      <c r="B281" s="248" t="s">
        <v>224</v>
      </c>
      <c r="C281" s="222">
        <v>8478</v>
      </c>
      <c r="D281" s="227">
        <v>529.29999999999995</v>
      </c>
      <c r="E281" s="224">
        <f t="shared" si="7"/>
        <v>6.2432177400330255</v>
      </c>
    </row>
    <row r="282" spans="1:5" hidden="1">
      <c r="A282" s="369">
        <v>4119</v>
      </c>
      <c r="B282" s="248" t="s">
        <v>224</v>
      </c>
      <c r="C282" s="222">
        <v>498</v>
      </c>
      <c r="D282" s="227">
        <v>31.17</v>
      </c>
      <c r="E282" s="224">
        <f t="shared" si="7"/>
        <v>6.2590361445783129</v>
      </c>
    </row>
    <row r="283" spans="1:5" hidden="1">
      <c r="A283" s="369">
        <v>4120</v>
      </c>
      <c r="B283" s="221" t="s">
        <v>225</v>
      </c>
      <c r="C283" s="222">
        <v>813</v>
      </c>
      <c r="D283" s="227">
        <v>525.57000000000005</v>
      </c>
      <c r="E283" s="224">
        <f t="shared" si="7"/>
        <v>64.645756457564588</v>
      </c>
    </row>
    <row r="284" spans="1:5" hidden="1">
      <c r="A284" s="369">
        <v>4120</v>
      </c>
      <c r="B284" s="221" t="s">
        <v>225</v>
      </c>
      <c r="C284" s="222">
        <v>13926</v>
      </c>
      <c r="D284" s="227">
        <v>5671.51</v>
      </c>
      <c r="E284" s="224">
        <f t="shared" si="7"/>
        <v>40.726051989085164</v>
      </c>
    </row>
    <row r="285" spans="1:5" hidden="1">
      <c r="A285" s="369">
        <v>4120</v>
      </c>
      <c r="B285" s="221" t="s">
        <v>225</v>
      </c>
      <c r="C285" s="222">
        <v>4233</v>
      </c>
      <c r="D285" s="227">
        <v>2158.4499999999998</v>
      </c>
      <c r="E285" s="224">
        <f t="shared" si="7"/>
        <v>50.991022915190165</v>
      </c>
    </row>
    <row r="286" spans="1:5" hidden="1">
      <c r="A286" s="369">
        <v>4120</v>
      </c>
      <c r="B286" s="221" t="s">
        <v>225</v>
      </c>
      <c r="C286" s="222">
        <v>2114</v>
      </c>
      <c r="D286" s="227">
        <v>1057</v>
      </c>
      <c r="E286" s="224">
        <f t="shared" si="7"/>
        <v>50</v>
      </c>
    </row>
    <row r="287" spans="1:5" hidden="1">
      <c r="A287" s="369">
        <v>4120</v>
      </c>
      <c r="B287" s="221" t="s">
        <v>225</v>
      </c>
      <c r="C287" s="222">
        <v>52570</v>
      </c>
      <c r="D287" s="227">
        <v>28713.72</v>
      </c>
      <c r="E287" s="224">
        <f t="shared" si="7"/>
        <v>54.619973368841542</v>
      </c>
    </row>
    <row r="288" spans="1:5" hidden="1">
      <c r="A288" s="369">
        <v>4120</v>
      </c>
      <c r="B288" s="221" t="s">
        <v>225</v>
      </c>
      <c r="C288" s="222">
        <v>54</v>
      </c>
      <c r="D288" s="227">
        <v>53.9</v>
      </c>
      <c r="E288" s="224">
        <f t="shared" si="7"/>
        <v>99.81481481481481</v>
      </c>
    </row>
    <row r="289" spans="1:5" hidden="1">
      <c r="A289" s="369">
        <v>4120</v>
      </c>
      <c r="B289" s="221" t="s">
        <v>225</v>
      </c>
      <c r="C289" s="222">
        <v>795</v>
      </c>
      <c r="D289" s="227">
        <v>423.71</v>
      </c>
      <c r="E289" s="224">
        <f t="shared" si="7"/>
        <v>53.296855345911951</v>
      </c>
    </row>
    <row r="290" spans="1:5" hidden="1">
      <c r="A290" s="369">
        <v>4120</v>
      </c>
      <c r="B290" s="221" t="s">
        <v>225</v>
      </c>
      <c r="C290" s="222">
        <v>18759</v>
      </c>
      <c r="D290" s="227">
        <v>9807.98</v>
      </c>
      <c r="E290" s="224">
        <f t="shared" si="7"/>
        <v>52.284130284130285</v>
      </c>
    </row>
    <row r="291" spans="1:5" hidden="1">
      <c r="A291" s="369">
        <v>4120</v>
      </c>
      <c r="B291" s="221" t="s">
        <v>225</v>
      </c>
      <c r="C291" s="222">
        <v>8524</v>
      </c>
      <c r="D291" s="227">
        <v>4271.87</v>
      </c>
      <c r="E291" s="224">
        <f t="shared" si="7"/>
        <v>50.115790708587518</v>
      </c>
    </row>
    <row r="292" spans="1:5" hidden="1">
      <c r="A292" s="369">
        <v>4120</v>
      </c>
      <c r="B292" s="221" t="s">
        <v>225</v>
      </c>
      <c r="C292" s="222">
        <v>5724</v>
      </c>
      <c r="D292" s="227">
        <v>2644.33</v>
      </c>
      <c r="E292" s="224">
        <f t="shared" si="7"/>
        <v>46.197239692522714</v>
      </c>
    </row>
    <row r="293" spans="1:5" hidden="1">
      <c r="A293" s="369">
        <v>4120</v>
      </c>
      <c r="B293" s="221" t="s">
        <v>225</v>
      </c>
      <c r="C293" s="222">
        <v>35937</v>
      </c>
      <c r="D293" s="227">
        <v>17852.34</v>
      </c>
      <c r="E293" s="224">
        <f t="shared" si="7"/>
        <v>49.676767676767675</v>
      </c>
    </row>
    <row r="294" spans="1:5" hidden="1">
      <c r="A294" s="369">
        <v>4120</v>
      </c>
      <c r="B294" s="221" t="s">
        <v>225</v>
      </c>
      <c r="C294" s="222">
        <v>12355</v>
      </c>
      <c r="D294" s="227">
        <v>6314.23</v>
      </c>
      <c r="E294" s="224">
        <f t="shared" si="7"/>
        <v>51.106677458518817</v>
      </c>
    </row>
    <row r="295" spans="1:5" hidden="1">
      <c r="A295" s="369">
        <v>4120</v>
      </c>
      <c r="B295" s="221" t="s">
        <v>225</v>
      </c>
      <c r="C295" s="222">
        <v>5151</v>
      </c>
      <c r="D295" s="227">
        <v>2727.34</v>
      </c>
      <c r="E295" s="224">
        <f t="shared" si="7"/>
        <v>52.947777130654245</v>
      </c>
    </row>
    <row r="296" spans="1:5" hidden="1">
      <c r="A296" s="369">
        <v>4120</v>
      </c>
      <c r="B296" s="221" t="s">
        <v>225</v>
      </c>
      <c r="C296" s="222">
        <v>2913</v>
      </c>
      <c r="D296" s="227">
        <v>1436.95</v>
      </c>
      <c r="E296" s="224">
        <f t="shared" si="7"/>
        <v>49.328870580157911</v>
      </c>
    </row>
    <row r="297" spans="1:5" hidden="1">
      <c r="A297" s="369">
        <v>4120</v>
      </c>
      <c r="B297" s="221" t="s">
        <v>225</v>
      </c>
      <c r="C297" s="222">
        <v>4173</v>
      </c>
      <c r="D297" s="227">
        <v>2104.6</v>
      </c>
      <c r="E297" s="224">
        <f t="shared" si="7"/>
        <v>50.433740714114549</v>
      </c>
    </row>
    <row r="298" spans="1:5" hidden="1">
      <c r="A298" s="369">
        <v>4120</v>
      </c>
      <c r="B298" s="221" t="s">
        <v>225</v>
      </c>
      <c r="C298" s="222">
        <v>1717</v>
      </c>
      <c r="D298" s="227">
        <v>908.86</v>
      </c>
      <c r="E298" s="224">
        <f t="shared" si="7"/>
        <v>52.933022714036106</v>
      </c>
    </row>
    <row r="299" spans="1:5" hidden="1">
      <c r="A299" s="369">
        <v>4120</v>
      </c>
      <c r="B299" s="248" t="s">
        <v>276</v>
      </c>
      <c r="C299" s="222">
        <v>85</v>
      </c>
      <c r="D299" s="227">
        <v>85</v>
      </c>
      <c r="E299" s="224">
        <f t="shared" si="7"/>
        <v>100</v>
      </c>
    </row>
    <row r="300" spans="1:5" hidden="1">
      <c r="A300" s="369">
        <v>4120</v>
      </c>
      <c r="B300" s="248" t="s">
        <v>276</v>
      </c>
      <c r="C300" s="222">
        <v>50952</v>
      </c>
      <c r="D300" s="227">
        <v>24561.69</v>
      </c>
      <c r="E300" s="224">
        <f t="shared" si="7"/>
        <v>48.205546396608575</v>
      </c>
    </row>
    <row r="301" spans="1:5" hidden="1">
      <c r="A301" s="369">
        <v>4120</v>
      </c>
      <c r="B301" s="248" t="s">
        <v>276</v>
      </c>
      <c r="C301" s="222">
        <v>12827</v>
      </c>
      <c r="D301" s="227">
        <v>6728.23</v>
      </c>
      <c r="E301" s="224">
        <f t="shared" si="7"/>
        <v>52.453652451859362</v>
      </c>
    </row>
    <row r="302" spans="1:5" hidden="1">
      <c r="A302" s="369">
        <v>4120</v>
      </c>
      <c r="B302" s="221" t="s">
        <v>225</v>
      </c>
      <c r="C302" s="222">
        <v>1717</v>
      </c>
      <c r="D302" s="227">
        <v>908.82</v>
      </c>
      <c r="E302" s="224">
        <f t="shared" si="7"/>
        <v>52.930693069306933</v>
      </c>
    </row>
    <row r="303" spans="1:5" hidden="1">
      <c r="A303" s="369">
        <v>4120</v>
      </c>
      <c r="B303" s="221" t="s">
        <v>225</v>
      </c>
      <c r="C303" s="222">
        <v>646</v>
      </c>
      <c r="D303" s="227">
        <v>363.14</v>
      </c>
      <c r="E303" s="224">
        <f t="shared" si="7"/>
        <v>56.213622291021672</v>
      </c>
    </row>
    <row r="304" spans="1:5" hidden="1">
      <c r="A304" s="369">
        <v>4120</v>
      </c>
      <c r="B304" s="221" t="s">
        <v>225</v>
      </c>
      <c r="C304" s="222">
        <v>1194</v>
      </c>
      <c r="D304" s="227">
        <v>398.17</v>
      </c>
      <c r="E304" s="224">
        <f t="shared" si="7"/>
        <v>33.347571189279734</v>
      </c>
    </row>
    <row r="305" spans="1:5" hidden="1">
      <c r="A305" s="369">
        <v>4120</v>
      </c>
      <c r="B305" s="248" t="s">
        <v>276</v>
      </c>
      <c r="C305" s="222">
        <v>172</v>
      </c>
      <c r="D305" s="227">
        <v>0</v>
      </c>
      <c r="E305" s="224">
        <f t="shared" si="7"/>
        <v>0</v>
      </c>
    </row>
    <row r="306" spans="1:5" hidden="1">
      <c r="A306" s="369">
        <v>4120</v>
      </c>
      <c r="B306" s="248" t="s">
        <v>276</v>
      </c>
      <c r="C306" s="222">
        <v>23480</v>
      </c>
      <c r="D306" s="227">
        <v>11649.3</v>
      </c>
      <c r="E306" s="224">
        <f t="shared" si="7"/>
        <v>49.613713798977855</v>
      </c>
    </row>
    <row r="307" spans="1:5" hidden="1">
      <c r="A307" s="369">
        <v>4120</v>
      </c>
      <c r="B307" s="248" t="s">
        <v>276</v>
      </c>
      <c r="C307" s="222">
        <v>865</v>
      </c>
      <c r="D307" s="227">
        <v>432.27</v>
      </c>
      <c r="E307" s="224">
        <f t="shared" si="7"/>
        <v>49.973410404624275</v>
      </c>
    </row>
    <row r="308" spans="1:5" hidden="1">
      <c r="A308" s="369">
        <v>4120</v>
      </c>
      <c r="B308" s="248" t="s">
        <v>276</v>
      </c>
      <c r="C308" s="222">
        <v>5474</v>
      </c>
      <c r="D308" s="227">
        <v>2622.02</v>
      </c>
      <c r="E308" s="224">
        <f t="shared" si="7"/>
        <v>47.899525027402262</v>
      </c>
    </row>
    <row r="309" spans="1:5" hidden="1">
      <c r="A309" s="369">
        <v>4120</v>
      </c>
      <c r="B309" s="248" t="s">
        <v>276</v>
      </c>
      <c r="C309" s="222">
        <v>2400</v>
      </c>
      <c r="D309" s="227">
        <v>1230.23</v>
      </c>
      <c r="E309" s="224">
        <f t="shared" si="7"/>
        <v>51.259583333333332</v>
      </c>
    </row>
    <row r="310" spans="1:5" hidden="1">
      <c r="A310" s="369">
        <v>4120</v>
      </c>
      <c r="B310" s="248" t="s">
        <v>276</v>
      </c>
      <c r="C310" s="222">
        <v>2887</v>
      </c>
      <c r="D310" s="227">
        <v>1273.97</v>
      </c>
      <c r="E310" s="224">
        <f t="shared" si="7"/>
        <v>44.127814340145477</v>
      </c>
    </row>
    <row r="311" spans="1:5" hidden="1">
      <c r="A311" s="369">
        <v>4120</v>
      </c>
      <c r="B311" s="248" t="s">
        <v>276</v>
      </c>
      <c r="C311" s="222">
        <v>5766</v>
      </c>
      <c r="D311" s="227">
        <v>3333.04</v>
      </c>
      <c r="E311" s="224">
        <f t="shared" si="7"/>
        <v>57.805064169268121</v>
      </c>
    </row>
    <row r="312" spans="1:5" hidden="1">
      <c r="A312" s="369">
        <v>4120</v>
      </c>
      <c r="B312" s="248" t="s">
        <v>276</v>
      </c>
      <c r="C312" s="222">
        <v>1081</v>
      </c>
      <c r="D312" s="227">
        <v>377.06</v>
      </c>
      <c r="E312" s="224">
        <f t="shared" si="7"/>
        <v>34.880666049953746</v>
      </c>
    </row>
    <row r="313" spans="1:5" hidden="1">
      <c r="A313" s="233">
        <v>4120</v>
      </c>
      <c r="B313" s="248" t="s">
        <v>276</v>
      </c>
      <c r="C313" s="222">
        <v>30297</v>
      </c>
      <c r="D313" s="227">
        <v>12996.32</v>
      </c>
      <c r="E313" s="224">
        <f t="shared" si="7"/>
        <v>42.896392382084038</v>
      </c>
    </row>
    <row r="314" spans="1:5" hidden="1">
      <c r="A314" s="233">
        <v>4120</v>
      </c>
      <c r="B314" s="248" t="s">
        <v>276</v>
      </c>
      <c r="C314" s="222">
        <v>1035</v>
      </c>
      <c r="D314" s="227">
        <v>547.92999999999995</v>
      </c>
      <c r="E314" s="224">
        <f t="shared" si="7"/>
        <v>52.940096618357479</v>
      </c>
    </row>
    <row r="315" spans="1:5" hidden="1">
      <c r="A315" s="233">
        <v>4120</v>
      </c>
      <c r="B315" s="248" t="s">
        <v>276</v>
      </c>
      <c r="C315" s="222">
        <v>12000</v>
      </c>
      <c r="D315" s="227">
        <v>5096.88</v>
      </c>
      <c r="E315" s="224">
        <f t="shared" si="7"/>
        <v>42.473999999999997</v>
      </c>
    </row>
    <row r="316" spans="1:5" hidden="1">
      <c r="A316" s="233">
        <v>4120</v>
      </c>
      <c r="B316" s="248" t="s">
        <v>276</v>
      </c>
      <c r="C316" s="222">
        <v>6421</v>
      </c>
      <c r="D316" s="227">
        <v>2645.22</v>
      </c>
      <c r="E316" s="224">
        <f t="shared" si="7"/>
        <v>41.196386855629967</v>
      </c>
    </row>
    <row r="317" spans="1:5" hidden="1">
      <c r="A317" s="233">
        <v>4120</v>
      </c>
      <c r="B317" s="248" t="s">
        <v>276</v>
      </c>
      <c r="C317" s="222">
        <v>2268</v>
      </c>
      <c r="D317" s="227">
        <v>1331.93</v>
      </c>
      <c r="E317" s="224">
        <f t="shared" si="7"/>
        <v>58.727072310405646</v>
      </c>
    </row>
    <row r="318" spans="1:5" hidden="1">
      <c r="A318" s="233">
        <v>4120</v>
      </c>
      <c r="B318" s="248" t="s">
        <v>276</v>
      </c>
      <c r="C318" s="222">
        <v>4240</v>
      </c>
      <c r="D318" s="227">
        <v>2765.78</v>
      </c>
      <c r="E318" s="224">
        <f t="shared" si="7"/>
        <v>65.23066037735849</v>
      </c>
    </row>
    <row r="319" spans="1:5" hidden="1">
      <c r="A319" s="233">
        <v>4120</v>
      </c>
      <c r="B319" s="248" t="s">
        <v>276</v>
      </c>
      <c r="C319" s="222">
        <v>14354</v>
      </c>
      <c r="D319" s="227">
        <v>6890.56</v>
      </c>
      <c r="E319" s="224">
        <f t="shared" si="7"/>
        <v>48.004458687473878</v>
      </c>
    </row>
    <row r="320" spans="1:5" hidden="1">
      <c r="A320" s="233">
        <v>4128</v>
      </c>
      <c r="B320" s="248" t="s">
        <v>276</v>
      </c>
      <c r="C320" s="222">
        <v>1214</v>
      </c>
      <c r="D320" s="227">
        <v>0</v>
      </c>
      <c r="E320" s="224">
        <f t="shared" si="7"/>
        <v>0</v>
      </c>
    </row>
    <row r="321" spans="1:5" hidden="1">
      <c r="A321" s="233">
        <v>4128</v>
      </c>
      <c r="B321" s="248" t="s">
        <v>276</v>
      </c>
      <c r="C321" s="222">
        <v>1268</v>
      </c>
      <c r="D321" s="227">
        <v>64.790000000000006</v>
      </c>
      <c r="E321" s="224">
        <f t="shared" si="7"/>
        <v>5.1096214511041014</v>
      </c>
    </row>
    <row r="322" spans="1:5" hidden="1">
      <c r="A322" s="233">
        <v>4129</v>
      </c>
      <c r="B322" s="248" t="s">
        <v>276</v>
      </c>
      <c r="C322" s="222">
        <v>75</v>
      </c>
      <c r="D322" s="227">
        <v>3.81</v>
      </c>
      <c r="E322" s="224">
        <f t="shared" si="7"/>
        <v>5.08</v>
      </c>
    </row>
    <row r="323" spans="1:5" hidden="1">
      <c r="A323" s="241">
        <v>4130</v>
      </c>
      <c r="B323" s="248" t="s">
        <v>348</v>
      </c>
      <c r="C323" s="222">
        <v>10000</v>
      </c>
      <c r="D323" s="227">
        <v>3137.4</v>
      </c>
      <c r="E323" s="224">
        <f t="shared" si="7"/>
        <v>31.373999999999999</v>
      </c>
    </row>
    <row r="324" spans="1:5" hidden="1">
      <c r="A324" s="233">
        <v>4130</v>
      </c>
      <c r="B324" s="248" t="s">
        <v>289</v>
      </c>
      <c r="C324" s="222">
        <v>19000</v>
      </c>
      <c r="D324" s="227">
        <v>7711.2</v>
      </c>
      <c r="E324" s="224">
        <f t="shared" si="7"/>
        <v>40.585263157894737</v>
      </c>
    </row>
    <row r="325" spans="1:5" hidden="1">
      <c r="A325" s="233">
        <v>4130</v>
      </c>
      <c r="B325" s="248" t="s">
        <v>290</v>
      </c>
      <c r="C325" s="222">
        <v>1907000</v>
      </c>
      <c r="D325" s="227">
        <v>954926.11</v>
      </c>
      <c r="E325" s="224">
        <f t="shared" si="7"/>
        <v>50.074782905086522</v>
      </c>
    </row>
    <row r="326" spans="1:5" hidden="1">
      <c r="A326" s="233">
        <v>4140</v>
      </c>
      <c r="B326" s="221" t="s">
        <v>278</v>
      </c>
      <c r="C326" s="222">
        <v>1500</v>
      </c>
      <c r="D326" s="227">
        <v>124</v>
      </c>
      <c r="E326" s="224">
        <f t="shared" si="7"/>
        <v>8.2666666666666675</v>
      </c>
    </row>
    <row r="327" spans="1:5" hidden="1">
      <c r="A327" s="233">
        <v>4170</v>
      </c>
      <c r="B327" s="221" t="s">
        <v>226</v>
      </c>
      <c r="C327" s="222">
        <v>6501</v>
      </c>
      <c r="D327" s="227">
        <v>6190</v>
      </c>
      <c r="E327" s="224">
        <f t="shared" si="7"/>
        <v>95.21612059683126</v>
      </c>
    </row>
    <row r="328" spans="1:5" hidden="1">
      <c r="A328" s="233">
        <v>4170</v>
      </c>
      <c r="B328" s="221" t="s">
        <v>226</v>
      </c>
      <c r="C328" s="222">
        <v>77700</v>
      </c>
      <c r="D328" s="227">
        <v>57200</v>
      </c>
      <c r="E328" s="224">
        <f t="shared" si="7"/>
        <v>73.616473616473613</v>
      </c>
    </row>
    <row r="329" spans="1:5" hidden="1">
      <c r="A329" s="233">
        <v>4170</v>
      </c>
      <c r="B329" s="221" t="s">
        <v>226</v>
      </c>
      <c r="C329" s="222">
        <v>10960</v>
      </c>
      <c r="D329" s="227">
        <v>10960</v>
      </c>
      <c r="E329" s="224">
        <f t="shared" ref="E329:E392" si="8">D329*100/C329</f>
        <v>100</v>
      </c>
    </row>
    <row r="330" spans="1:5" hidden="1">
      <c r="A330" s="233">
        <v>4170</v>
      </c>
      <c r="B330" s="221" t="s">
        <v>226</v>
      </c>
      <c r="C330" s="222">
        <v>2757</v>
      </c>
      <c r="D330" s="227">
        <v>0</v>
      </c>
      <c r="E330" s="224">
        <f t="shared" si="8"/>
        <v>0</v>
      </c>
    </row>
    <row r="331" spans="1:5" hidden="1">
      <c r="A331" s="233">
        <v>4170</v>
      </c>
      <c r="B331" s="221" t="s">
        <v>226</v>
      </c>
      <c r="C331" s="222">
        <v>3000</v>
      </c>
      <c r="D331" s="227">
        <v>1026.8699999999999</v>
      </c>
      <c r="E331" s="224">
        <f t="shared" si="8"/>
        <v>34.228999999999992</v>
      </c>
    </row>
    <row r="332" spans="1:5" hidden="1">
      <c r="A332" s="233">
        <v>4170</v>
      </c>
      <c r="B332" s="221" t="s">
        <v>226</v>
      </c>
      <c r="C332" s="222">
        <v>4782</v>
      </c>
      <c r="D332" s="227">
        <v>2437.4</v>
      </c>
      <c r="E332" s="224">
        <f t="shared" si="8"/>
        <v>50.970305311585108</v>
      </c>
    </row>
    <row r="333" spans="1:5" hidden="1">
      <c r="A333" s="369">
        <v>4170</v>
      </c>
      <c r="B333" s="221" t="s">
        <v>226</v>
      </c>
      <c r="C333" s="222">
        <v>5520</v>
      </c>
      <c r="D333" s="227">
        <v>5520</v>
      </c>
      <c r="E333" s="224">
        <f t="shared" si="8"/>
        <v>100</v>
      </c>
    </row>
    <row r="334" spans="1:5" hidden="1">
      <c r="A334" s="369">
        <v>4170</v>
      </c>
      <c r="B334" s="221" t="s">
        <v>226</v>
      </c>
      <c r="C334" s="222">
        <v>2606</v>
      </c>
      <c r="D334" s="227">
        <v>707.4</v>
      </c>
      <c r="E334" s="224">
        <f t="shared" si="8"/>
        <v>27.145049884881043</v>
      </c>
    </row>
    <row r="335" spans="1:5" hidden="1">
      <c r="A335" s="369">
        <v>4170</v>
      </c>
      <c r="B335" s="221" t="s">
        <v>226</v>
      </c>
      <c r="C335" s="222">
        <v>869</v>
      </c>
      <c r="D335" s="227">
        <v>235.8</v>
      </c>
      <c r="E335" s="224">
        <f t="shared" si="8"/>
        <v>27.134637514384348</v>
      </c>
    </row>
    <row r="336" spans="1:5" hidden="1">
      <c r="A336" s="369">
        <v>4170</v>
      </c>
      <c r="B336" s="221" t="s">
        <v>226</v>
      </c>
      <c r="C336" s="222">
        <v>12727</v>
      </c>
      <c r="D336" s="227">
        <v>11406</v>
      </c>
      <c r="E336" s="224">
        <f t="shared" si="8"/>
        <v>89.620491867682873</v>
      </c>
    </row>
    <row r="337" spans="1:5" hidden="1">
      <c r="A337" s="369">
        <v>4170</v>
      </c>
      <c r="B337" s="221" t="s">
        <v>226</v>
      </c>
      <c r="C337" s="222">
        <v>869</v>
      </c>
      <c r="D337" s="227">
        <v>235.8</v>
      </c>
      <c r="E337" s="224">
        <f t="shared" si="8"/>
        <v>27.134637514384348</v>
      </c>
    </row>
    <row r="338" spans="1:5" hidden="1">
      <c r="A338" s="369">
        <v>4170</v>
      </c>
      <c r="B338" s="221" t="s">
        <v>226</v>
      </c>
      <c r="C338" s="222">
        <v>15000</v>
      </c>
      <c r="D338" s="227">
        <v>12016.23</v>
      </c>
      <c r="E338" s="224">
        <f t="shared" si="8"/>
        <v>80.108199999999997</v>
      </c>
    </row>
    <row r="339" spans="1:5" hidden="1">
      <c r="A339" s="153">
        <v>4170</v>
      </c>
      <c r="B339" s="221" t="s">
        <v>226</v>
      </c>
      <c r="C339" s="222">
        <v>7000</v>
      </c>
      <c r="D339" s="227">
        <v>0</v>
      </c>
      <c r="E339" s="224">
        <f t="shared" si="8"/>
        <v>0</v>
      </c>
    </row>
    <row r="340" spans="1:5" hidden="1">
      <c r="A340" s="369">
        <v>4170</v>
      </c>
      <c r="B340" s="221" t="s">
        <v>226</v>
      </c>
      <c r="C340" s="222">
        <v>19200</v>
      </c>
      <c r="D340" s="227">
        <v>12085.55</v>
      </c>
      <c r="E340" s="224">
        <f t="shared" si="8"/>
        <v>62.94557291666667</v>
      </c>
    </row>
    <row r="341" spans="1:5" hidden="1">
      <c r="A341" s="369">
        <v>4170</v>
      </c>
      <c r="B341" s="221" t="s">
        <v>226</v>
      </c>
      <c r="C341" s="222">
        <v>2332</v>
      </c>
      <c r="D341" s="227">
        <v>2332</v>
      </c>
      <c r="E341" s="224">
        <f t="shared" si="8"/>
        <v>100</v>
      </c>
    </row>
    <row r="342" spans="1:5" hidden="1">
      <c r="A342" s="369">
        <v>4170</v>
      </c>
      <c r="B342" s="221" t="s">
        <v>226</v>
      </c>
      <c r="C342" s="222">
        <v>7680</v>
      </c>
      <c r="D342" s="227">
        <v>4000</v>
      </c>
      <c r="E342" s="224">
        <f t="shared" si="8"/>
        <v>52.083333333333336</v>
      </c>
    </row>
    <row r="343" spans="1:5" hidden="1">
      <c r="A343" s="369">
        <v>4170</v>
      </c>
      <c r="B343" s="221" t="s">
        <v>226</v>
      </c>
      <c r="C343" s="222">
        <v>33600</v>
      </c>
      <c r="D343" s="227">
        <v>13741.17</v>
      </c>
      <c r="E343" s="224">
        <f t="shared" si="8"/>
        <v>40.896339285714284</v>
      </c>
    </row>
    <row r="344" spans="1:5" hidden="1">
      <c r="A344" s="369">
        <v>4170</v>
      </c>
      <c r="B344" s="221" t="s">
        <v>226</v>
      </c>
      <c r="C344" s="222">
        <v>117787</v>
      </c>
      <c r="D344" s="227">
        <v>51999.4</v>
      </c>
      <c r="E344" s="224">
        <f t="shared" si="8"/>
        <v>44.146977170655504</v>
      </c>
    </row>
    <row r="345" spans="1:5" hidden="1">
      <c r="A345" s="369">
        <v>4170</v>
      </c>
      <c r="B345" s="221" t="s">
        <v>226</v>
      </c>
      <c r="C345" s="222">
        <v>27850</v>
      </c>
      <c r="D345" s="227">
        <v>11300</v>
      </c>
      <c r="E345" s="224">
        <f t="shared" si="8"/>
        <v>40.57450628366248</v>
      </c>
    </row>
    <row r="346" spans="1:5" hidden="1">
      <c r="A346" s="369">
        <v>4170</v>
      </c>
      <c r="B346" s="221" t="s">
        <v>226</v>
      </c>
      <c r="C346" s="222">
        <v>12950</v>
      </c>
      <c r="D346" s="227">
        <v>4126</v>
      </c>
      <c r="E346" s="224">
        <f t="shared" si="8"/>
        <v>31.861003861003862</v>
      </c>
    </row>
    <row r="347" spans="1:5" hidden="1">
      <c r="A347" s="369">
        <v>4170</v>
      </c>
      <c r="B347" s="221" t="s">
        <v>226</v>
      </c>
      <c r="C347" s="222">
        <v>49230</v>
      </c>
      <c r="D347" s="227">
        <v>23328.1</v>
      </c>
      <c r="E347" s="224">
        <f t="shared" si="8"/>
        <v>47.385943530367662</v>
      </c>
    </row>
    <row r="348" spans="1:5" hidden="1">
      <c r="A348" s="369">
        <v>4170</v>
      </c>
      <c r="B348" s="221" t="s">
        <v>226</v>
      </c>
      <c r="C348" s="222">
        <v>25000</v>
      </c>
      <c r="D348" s="227">
        <v>10000</v>
      </c>
      <c r="E348" s="224">
        <f t="shared" si="8"/>
        <v>40</v>
      </c>
    </row>
    <row r="349" spans="1:5" hidden="1">
      <c r="A349" s="369">
        <v>4170</v>
      </c>
      <c r="B349" s="221" t="s">
        <v>226</v>
      </c>
      <c r="C349" s="222">
        <v>10741</v>
      </c>
      <c r="D349" s="227">
        <v>3633.86</v>
      </c>
      <c r="E349" s="224">
        <f t="shared" si="8"/>
        <v>33.831673028582067</v>
      </c>
    </row>
    <row r="350" spans="1:5" hidden="1">
      <c r="A350" s="369">
        <v>4170</v>
      </c>
      <c r="B350" s="221" t="s">
        <v>226</v>
      </c>
      <c r="C350" s="222">
        <v>99843</v>
      </c>
      <c r="D350" s="227">
        <v>35068</v>
      </c>
      <c r="E350" s="224">
        <f t="shared" si="8"/>
        <v>35.123143335036005</v>
      </c>
    </row>
    <row r="351" spans="1:5" hidden="1">
      <c r="A351" s="369">
        <v>4178</v>
      </c>
      <c r="B351" s="221" t="s">
        <v>226</v>
      </c>
      <c r="C351" s="222">
        <v>117228</v>
      </c>
      <c r="D351" s="227">
        <v>23260.58</v>
      </c>
      <c r="E351" s="224">
        <f t="shared" si="8"/>
        <v>19.842170812433888</v>
      </c>
    </row>
    <row r="352" spans="1:5" hidden="1">
      <c r="A352" s="369">
        <v>4179</v>
      </c>
      <c r="B352" s="221" t="s">
        <v>226</v>
      </c>
      <c r="C352" s="222">
        <v>6899</v>
      </c>
      <c r="D352" s="227">
        <v>1369.42</v>
      </c>
      <c r="E352" s="224">
        <f t="shared" si="8"/>
        <v>19.849543412088707</v>
      </c>
    </row>
    <row r="353" spans="1:5" hidden="1">
      <c r="A353" s="369">
        <v>4180</v>
      </c>
      <c r="B353" s="221" t="s">
        <v>263</v>
      </c>
      <c r="C353" s="222">
        <v>83734</v>
      </c>
      <c r="D353" s="227">
        <v>83733.84</v>
      </c>
      <c r="E353" s="224">
        <f t="shared" si="8"/>
        <v>99.999808918718799</v>
      </c>
    </row>
    <row r="354" spans="1:5" hidden="1">
      <c r="A354" s="369">
        <v>4210</v>
      </c>
      <c r="B354" s="221" t="s">
        <v>227</v>
      </c>
      <c r="C354" s="222">
        <v>219250</v>
      </c>
      <c r="D354" s="227">
        <v>154568.13</v>
      </c>
      <c r="E354" s="224">
        <f t="shared" si="8"/>
        <v>70.498576966932731</v>
      </c>
    </row>
    <row r="355" spans="1:5" hidden="1">
      <c r="A355" s="369">
        <v>4210</v>
      </c>
      <c r="B355" s="221" t="s">
        <v>227</v>
      </c>
      <c r="C355" s="222">
        <v>500</v>
      </c>
      <c r="D355" s="227">
        <v>0</v>
      </c>
      <c r="E355" s="224">
        <f t="shared" si="8"/>
        <v>0</v>
      </c>
    </row>
    <row r="356" spans="1:5" hidden="1">
      <c r="A356" s="369">
        <v>4210</v>
      </c>
      <c r="B356" s="221" t="s">
        <v>227</v>
      </c>
      <c r="C356" s="222">
        <v>4991</v>
      </c>
      <c r="D356" s="227">
        <v>1189.3599999999999</v>
      </c>
      <c r="E356" s="224">
        <f t="shared" si="8"/>
        <v>23.830094169505106</v>
      </c>
    </row>
    <row r="357" spans="1:5" hidden="1">
      <c r="A357" s="369">
        <v>4210</v>
      </c>
      <c r="B357" s="221" t="s">
        <v>227</v>
      </c>
      <c r="C357" s="222">
        <v>6500</v>
      </c>
      <c r="D357" s="227">
        <v>4746.78</v>
      </c>
      <c r="E357" s="224">
        <f t="shared" si="8"/>
        <v>73.027384615384619</v>
      </c>
    </row>
    <row r="358" spans="1:5" hidden="1">
      <c r="A358" s="369">
        <v>4210</v>
      </c>
      <c r="B358" s="221" t="s">
        <v>227</v>
      </c>
      <c r="C358" s="222">
        <v>341245</v>
      </c>
      <c r="D358" s="227">
        <v>205889.12</v>
      </c>
      <c r="E358" s="224">
        <f t="shared" si="8"/>
        <v>60.334692083400491</v>
      </c>
    </row>
    <row r="359" spans="1:5" hidden="1">
      <c r="A359" s="369">
        <v>4210</v>
      </c>
      <c r="B359" s="221" t="s">
        <v>227</v>
      </c>
      <c r="C359" s="222">
        <v>440</v>
      </c>
      <c r="D359" s="227">
        <v>439.61</v>
      </c>
      <c r="E359" s="224">
        <f t="shared" si="8"/>
        <v>99.911363636363632</v>
      </c>
    </row>
    <row r="360" spans="1:5" hidden="1">
      <c r="A360" s="369">
        <v>4210</v>
      </c>
      <c r="B360" s="221" t="s">
        <v>227</v>
      </c>
      <c r="C360" s="222">
        <v>30000</v>
      </c>
      <c r="D360" s="227">
        <v>21310.33</v>
      </c>
      <c r="E360" s="224">
        <f t="shared" si="8"/>
        <v>71.03443333333334</v>
      </c>
    </row>
    <row r="361" spans="1:5" hidden="1">
      <c r="A361" s="369">
        <v>4210</v>
      </c>
      <c r="B361" s="221" t="s">
        <v>227</v>
      </c>
      <c r="C361" s="222">
        <v>91686</v>
      </c>
      <c r="D361" s="227">
        <v>42136.29</v>
      </c>
      <c r="E361" s="224">
        <f t="shared" si="8"/>
        <v>45.957169033440223</v>
      </c>
    </row>
    <row r="362" spans="1:5" hidden="1">
      <c r="A362" s="369">
        <v>4210</v>
      </c>
      <c r="B362" s="221" t="s">
        <v>227</v>
      </c>
      <c r="C362" s="222">
        <v>11600</v>
      </c>
      <c r="D362" s="227">
        <v>7110.32</v>
      </c>
      <c r="E362" s="224">
        <f t="shared" si="8"/>
        <v>61.295862068965519</v>
      </c>
    </row>
    <row r="363" spans="1:5" hidden="1">
      <c r="A363" s="369">
        <v>4210</v>
      </c>
      <c r="B363" s="221" t="s">
        <v>227</v>
      </c>
      <c r="C363" s="222">
        <v>14870</v>
      </c>
      <c r="D363" s="227">
        <v>12741.75</v>
      </c>
      <c r="E363" s="224">
        <f t="shared" si="8"/>
        <v>85.687626092804308</v>
      </c>
    </row>
    <row r="364" spans="1:5" hidden="1">
      <c r="A364" s="369">
        <v>4210</v>
      </c>
      <c r="B364" s="221" t="s">
        <v>227</v>
      </c>
      <c r="C364" s="222">
        <v>8800</v>
      </c>
      <c r="D364" s="227">
        <v>8800</v>
      </c>
      <c r="E364" s="224">
        <f t="shared" si="8"/>
        <v>100</v>
      </c>
    </row>
    <row r="365" spans="1:5" hidden="1">
      <c r="A365" s="369">
        <v>4210</v>
      </c>
      <c r="B365" s="221" t="s">
        <v>227</v>
      </c>
      <c r="C365" s="222">
        <v>34612</v>
      </c>
      <c r="D365" s="227">
        <v>14121.26</v>
      </c>
      <c r="E365" s="224">
        <f t="shared" si="8"/>
        <v>40.798740321275858</v>
      </c>
    </row>
    <row r="366" spans="1:5" hidden="1">
      <c r="A366" s="369">
        <v>4210</v>
      </c>
      <c r="B366" s="221" t="s">
        <v>227</v>
      </c>
      <c r="C366" s="222">
        <v>31300</v>
      </c>
      <c r="D366" s="227">
        <v>13280.49</v>
      </c>
      <c r="E366" s="224">
        <f t="shared" si="8"/>
        <v>42.429680511182106</v>
      </c>
    </row>
    <row r="367" spans="1:5" hidden="1">
      <c r="A367" s="369">
        <v>4210</v>
      </c>
      <c r="B367" s="221" t="s">
        <v>227</v>
      </c>
      <c r="C367" s="222">
        <v>2400</v>
      </c>
      <c r="D367" s="227">
        <v>1038.8499999999999</v>
      </c>
      <c r="E367" s="224">
        <f t="shared" si="8"/>
        <v>43.285416666666663</v>
      </c>
    </row>
    <row r="368" spans="1:5" hidden="1">
      <c r="A368" s="369">
        <v>4210</v>
      </c>
      <c r="B368" s="221" t="s">
        <v>227</v>
      </c>
      <c r="C368" s="222">
        <v>5261</v>
      </c>
      <c r="D368" s="227">
        <v>2685.16</v>
      </c>
      <c r="E368" s="224">
        <f t="shared" si="8"/>
        <v>51.038965976050179</v>
      </c>
    </row>
    <row r="369" spans="1:5" hidden="1">
      <c r="A369" s="369">
        <v>4210</v>
      </c>
      <c r="B369" s="221" t="s">
        <v>227</v>
      </c>
      <c r="C369" s="222">
        <v>7149</v>
      </c>
      <c r="D369" s="227">
        <v>3649.89</v>
      </c>
      <c r="E369" s="224">
        <f t="shared" si="8"/>
        <v>51.054553084347461</v>
      </c>
    </row>
    <row r="370" spans="1:5" hidden="1">
      <c r="A370" s="369">
        <v>4210</v>
      </c>
      <c r="B370" s="221" t="s">
        <v>227</v>
      </c>
      <c r="C370" s="222">
        <v>800</v>
      </c>
      <c r="D370" s="227">
        <v>346.29</v>
      </c>
      <c r="E370" s="224">
        <f t="shared" si="8"/>
        <v>43.286250000000003</v>
      </c>
    </row>
    <row r="371" spans="1:5" hidden="1">
      <c r="A371" s="369">
        <v>4210</v>
      </c>
      <c r="B371" s="248" t="s">
        <v>227</v>
      </c>
      <c r="C371" s="222">
        <v>56789</v>
      </c>
      <c r="D371" s="227">
        <v>42690.35</v>
      </c>
      <c r="E371" s="224">
        <f t="shared" si="8"/>
        <v>75.173625173889306</v>
      </c>
    </row>
    <row r="372" spans="1:5" hidden="1">
      <c r="A372" s="369">
        <v>4210</v>
      </c>
      <c r="B372" s="248" t="s">
        <v>227</v>
      </c>
      <c r="C372" s="222">
        <v>16320</v>
      </c>
      <c r="D372" s="227">
        <v>9949.6200000000008</v>
      </c>
      <c r="E372" s="224">
        <f t="shared" si="8"/>
        <v>60.965808823529422</v>
      </c>
    </row>
    <row r="373" spans="1:5" hidden="1">
      <c r="A373" s="369">
        <v>4210</v>
      </c>
      <c r="B373" s="221" t="s">
        <v>227</v>
      </c>
      <c r="C373" s="222">
        <v>800</v>
      </c>
      <c r="D373" s="227">
        <v>346.29</v>
      </c>
      <c r="E373" s="224">
        <f t="shared" si="8"/>
        <v>43.286250000000003</v>
      </c>
    </row>
    <row r="374" spans="1:5" hidden="1">
      <c r="A374" s="369">
        <v>4210</v>
      </c>
      <c r="B374" s="221" t="s">
        <v>227</v>
      </c>
      <c r="C374" s="222">
        <v>31329</v>
      </c>
      <c r="D374" s="227">
        <v>27122.45</v>
      </c>
      <c r="E374" s="224">
        <f t="shared" si="8"/>
        <v>86.572983497717772</v>
      </c>
    </row>
    <row r="375" spans="1:5" hidden="1">
      <c r="A375" s="369">
        <v>4210</v>
      </c>
      <c r="B375" s="221" t="s">
        <v>227</v>
      </c>
      <c r="C375" s="222">
        <v>6065</v>
      </c>
      <c r="D375" s="227">
        <v>1040.78</v>
      </c>
      <c r="E375" s="224">
        <f t="shared" si="8"/>
        <v>17.16042868920033</v>
      </c>
    </row>
    <row r="376" spans="1:5" hidden="1">
      <c r="A376" s="369">
        <v>4210</v>
      </c>
      <c r="B376" s="248" t="s">
        <v>227</v>
      </c>
      <c r="C376" s="222">
        <v>1727</v>
      </c>
      <c r="D376" s="227">
        <v>0</v>
      </c>
      <c r="E376" s="224">
        <f t="shared" si="8"/>
        <v>0</v>
      </c>
    </row>
    <row r="377" spans="1:5" hidden="1">
      <c r="A377" s="369">
        <v>4210</v>
      </c>
      <c r="B377" s="248" t="s">
        <v>227</v>
      </c>
      <c r="C377" s="222">
        <v>7400</v>
      </c>
      <c r="D377" s="227">
        <v>4413.99</v>
      </c>
      <c r="E377" s="224">
        <f t="shared" si="8"/>
        <v>59.648513513513514</v>
      </c>
    </row>
    <row r="378" spans="1:5" hidden="1">
      <c r="A378" s="369">
        <v>4210</v>
      </c>
      <c r="B378" s="248" t="s">
        <v>227</v>
      </c>
      <c r="C378" s="222">
        <v>60720</v>
      </c>
      <c r="D378" s="227">
        <v>33954.65</v>
      </c>
      <c r="E378" s="224">
        <f t="shared" si="8"/>
        <v>55.920042819499344</v>
      </c>
    </row>
    <row r="379" spans="1:5" hidden="1">
      <c r="A379" s="369">
        <v>4210</v>
      </c>
      <c r="B379" s="248" t="s">
        <v>227</v>
      </c>
      <c r="C379" s="222">
        <v>18240</v>
      </c>
      <c r="D379" s="227">
        <v>7440</v>
      </c>
      <c r="E379" s="224">
        <f t="shared" si="8"/>
        <v>40.789473684210527</v>
      </c>
    </row>
    <row r="380" spans="1:5" hidden="1">
      <c r="A380" s="369">
        <v>4210</v>
      </c>
      <c r="B380" s="248" t="s">
        <v>227</v>
      </c>
      <c r="C380" s="222">
        <v>11855</v>
      </c>
      <c r="D380" s="227">
        <v>3701.03</v>
      </c>
      <c r="E380" s="224">
        <f t="shared" si="8"/>
        <v>31.219148038802192</v>
      </c>
    </row>
    <row r="381" spans="1:5" hidden="1">
      <c r="A381" s="369">
        <v>4210</v>
      </c>
      <c r="B381" s="248" t="s">
        <v>227</v>
      </c>
      <c r="C381" s="222">
        <v>25549</v>
      </c>
      <c r="D381" s="227">
        <v>8085.05</v>
      </c>
      <c r="E381" s="224">
        <f t="shared" si="8"/>
        <v>31.645269873576265</v>
      </c>
    </row>
    <row r="382" spans="1:5" hidden="1">
      <c r="A382" s="369">
        <v>4210</v>
      </c>
      <c r="B382" s="248" t="s">
        <v>227</v>
      </c>
      <c r="C382" s="222">
        <v>6800</v>
      </c>
      <c r="D382" s="227">
        <v>3052.04</v>
      </c>
      <c r="E382" s="224">
        <f t="shared" si="8"/>
        <v>44.882941176470588</v>
      </c>
    </row>
    <row r="383" spans="1:5" hidden="1">
      <c r="A383" s="369">
        <v>4210</v>
      </c>
      <c r="B383" s="248" t="s">
        <v>227</v>
      </c>
      <c r="C383" s="222">
        <v>1200</v>
      </c>
      <c r="D383" s="227">
        <v>12.8</v>
      </c>
      <c r="E383" s="224">
        <f t="shared" si="8"/>
        <v>1.0666666666666667</v>
      </c>
    </row>
    <row r="384" spans="1:5" hidden="1">
      <c r="A384" s="369">
        <v>4210</v>
      </c>
      <c r="B384" s="248" t="s">
        <v>227</v>
      </c>
      <c r="C384" s="222">
        <v>10166</v>
      </c>
      <c r="D384" s="227">
        <v>3286.34</v>
      </c>
      <c r="E384" s="224">
        <f t="shared" si="8"/>
        <v>32.326775526264015</v>
      </c>
    </row>
    <row r="385" spans="1:5" hidden="1">
      <c r="A385" s="369">
        <v>4210</v>
      </c>
      <c r="B385" s="248" t="s">
        <v>227</v>
      </c>
      <c r="C385" s="222">
        <v>66788</v>
      </c>
      <c r="D385" s="227">
        <v>42422.19</v>
      </c>
      <c r="E385" s="224">
        <f t="shared" si="8"/>
        <v>63.517682817272565</v>
      </c>
    </row>
    <row r="386" spans="1:5" hidden="1">
      <c r="A386" s="369">
        <v>4210</v>
      </c>
      <c r="B386" s="248" t="s">
        <v>227</v>
      </c>
      <c r="C386" s="222">
        <v>9241</v>
      </c>
      <c r="D386" s="227">
        <v>5323.03</v>
      </c>
      <c r="E386" s="224">
        <f t="shared" si="8"/>
        <v>57.602315766691916</v>
      </c>
    </row>
    <row r="387" spans="1:5" hidden="1">
      <c r="A387" s="369">
        <v>4210</v>
      </c>
      <c r="B387" s="248" t="s">
        <v>227</v>
      </c>
      <c r="C387" s="222">
        <v>39255</v>
      </c>
      <c r="D387" s="227">
        <v>3336.22</v>
      </c>
      <c r="E387" s="224">
        <f t="shared" si="8"/>
        <v>8.4988409119857344</v>
      </c>
    </row>
    <row r="388" spans="1:5" hidden="1">
      <c r="A388" s="369">
        <v>4210</v>
      </c>
      <c r="B388" s="248" t="s">
        <v>227</v>
      </c>
      <c r="C388" s="222">
        <v>25897</v>
      </c>
      <c r="D388" s="227">
        <v>25840.69</v>
      </c>
      <c r="E388" s="224">
        <f t="shared" si="8"/>
        <v>99.782561686681859</v>
      </c>
    </row>
    <row r="389" spans="1:5" hidden="1">
      <c r="A389" s="369">
        <v>4210</v>
      </c>
      <c r="B389" s="248" t="s">
        <v>227</v>
      </c>
      <c r="C389" s="222">
        <v>35785</v>
      </c>
      <c r="D389" s="227">
        <v>23303.51</v>
      </c>
      <c r="E389" s="224">
        <f t="shared" si="8"/>
        <v>65.120888640491827</v>
      </c>
    </row>
    <row r="390" spans="1:5" hidden="1">
      <c r="A390" s="369">
        <v>4210</v>
      </c>
      <c r="B390" s="248" t="s">
        <v>227</v>
      </c>
      <c r="C390" s="222">
        <v>85000</v>
      </c>
      <c r="D390" s="227">
        <v>58129.09</v>
      </c>
      <c r="E390" s="224">
        <f t="shared" si="8"/>
        <v>68.387164705882356</v>
      </c>
    </row>
    <row r="391" spans="1:5" hidden="1">
      <c r="A391" s="291">
        <v>4210</v>
      </c>
      <c r="B391" s="248" t="s">
        <v>227</v>
      </c>
      <c r="C391" s="222">
        <v>3000</v>
      </c>
      <c r="D391" s="227">
        <v>0</v>
      </c>
      <c r="E391" s="224">
        <f t="shared" si="8"/>
        <v>0</v>
      </c>
    </row>
    <row r="392" spans="1:5" hidden="1">
      <c r="A392" s="369">
        <v>4210</v>
      </c>
      <c r="B392" s="248" t="s">
        <v>227</v>
      </c>
      <c r="C392" s="222">
        <v>4000</v>
      </c>
      <c r="D392" s="227">
        <v>0</v>
      </c>
      <c r="E392" s="224">
        <f t="shared" si="8"/>
        <v>0</v>
      </c>
    </row>
    <row r="393" spans="1:5" hidden="1">
      <c r="A393" s="369">
        <v>4210</v>
      </c>
      <c r="B393" s="248" t="s">
        <v>227</v>
      </c>
      <c r="C393" s="222">
        <v>5000</v>
      </c>
      <c r="D393" s="227">
        <v>0</v>
      </c>
      <c r="E393" s="224">
        <f t="shared" ref="E393:E456" si="9">D393*100/C393</f>
        <v>0</v>
      </c>
    </row>
    <row r="394" spans="1:5" hidden="1">
      <c r="A394" s="369">
        <v>4218</v>
      </c>
      <c r="B394" s="221" t="s">
        <v>227</v>
      </c>
      <c r="C394" s="222">
        <v>5370</v>
      </c>
      <c r="D394" s="227">
        <v>5369.97</v>
      </c>
      <c r="E394" s="224">
        <f t="shared" si="9"/>
        <v>99.999441340782127</v>
      </c>
    </row>
    <row r="395" spans="1:5" hidden="1">
      <c r="A395" s="369">
        <v>4218</v>
      </c>
      <c r="B395" s="248" t="s">
        <v>227</v>
      </c>
      <c r="C395" s="222">
        <v>5500</v>
      </c>
      <c r="D395" s="227">
        <v>0</v>
      </c>
      <c r="E395" s="224">
        <f t="shared" si="9"/>
        <v>0</v>
      </c>
    </row>
    <row r="396" spans="1:5" hidden="1">
      <c r="A396" s="369">
        <v>4218</v>
      </c>
      <c r="B396" s="248" t="s">
        <v>227</v>
      </c>
      <c r="C396" s="222">
        <v>26387</v>
      </c>
      <c r="D396" s="227">
        <v>1095.5</v>
      </c>
      <c r="E396" s="224">
        <f t="shared" si="9"/>
        <v>4.1516655929055979</v>
      </c>
    </row>
    <row r="397" spans="1:5" hidden="1">
      <c r="A397" s="369">
        <v>4219</v>
      </c>
      <c r="B397" s="221" t="s">
        <v>227</v>
      </c>
      <c r="C397" s="222">
        <v>1790</v>
      </c>
      <c r="D397" s="227">
        <v>1790</v>
      </c>
      <c r="E397" s="224">
        <f t="shared" si="9"/>
        <v>100</v>
      </c>
    </row>
    <row r="398" spans="1:5" hidden="1">
      <c r="A398" s="369">
        <v>4219</v>
      </c>
      <c r="B398" s="248" t="s">
        <v>227</v>
      </c>
      <c r="C398" s="222">
        <v>1553</v>
      </c>
      <c r="D398" s="227">
        <v>64.5</v>
      </c>
      <c r="E398" s="224">
        <f t="shared" si="9"/>
        <v>4.1532517707662588</v>
      </c>
    </row>
    <row r="399" spans="1:5" hidden="1">
      <c r="A399" s="361">
        <v>4220</v>
      </c>
      <c r="B399" s="268" t="s">
        <v>293</v>
      </c>
      <c r="C399" s="222">
        <v>86178</v>
      </c>
      <c r="D399" s="227">
        <v>53970.23</v>
      </c>
      <c r="E399" s="224">
        <f t="shared" si="9"/>
        <v>62.62645918912019</v>
      </c>
    </row>
    <row r="400" spans="1:5" hidden="1">
      <c r="A400" s="369">
        <v>4220</v>
      </c>
      <c r="B400" s="248" t="s">
        <v>293</v>
      </c>
      <c r="C400" s="222">
        <v>137085</v>
      </c>
      <c r="D400" s="227">
        <v>54997.5</v>
      </c>
      <c r="E400" s="224">
        <f t="shared" si="9"/>
        <v>40.119269066637486</v>
      </c>
    </row>
    <row r="401" spans="1:5" hidden="1">
      <c r="A401" s="369">
        <v>4220</v>
      </c>
      <c r="B401" s="248" t="s">
        <v>293</v>
      </c>
      <c r="C401" s="222">
        <v>35040</v>
      </c>
      <c r="D401" s="227">
        <v>17472</v>
      </c>
      <c r="E401" s="224">
        <f t="shared" si="9"/>
        <v>49.863013698630134</v>
      </c>
    </row>
    <row r="402" spans="1:5" hidden="1">
      <c r="A402" s="369">
        <v>4220</v>
      </c>
      <c r="B402" s="248" t="s">
        <v>293</v>
      </c>
      <c r="C402" s="222">
        <v>14400</v>
      </c>
      <c r="D402" s="227">
        <v>5853.99</v>
      </c>
      <c r="E402" s="224">
        <f t="shared" si="9"/>
        <v>40.652708333333337</v>
      </c>
    </row>
    <row r="403" spans="1:5" hidden="1">
      <c r="A403" s="369">
        <v>4220</v>
      </c>
      <c r="B403" s="248" t="s">
        <v>293</v>
      </c>
      <c r="C403" s="222">
        <v>43800</v>
      </c>
      <c r="D403" s="227">
        <v>4218.88</v>
      </c>
      <c r="E403" s="224">
        <f t="shared" si="9"/>
        <v>9.6321461187214616</v>
      </c>
    </row>
    <row r="404" spans="1:5" hidden="1">
      <c r="A404" s="369">
        <v>4220</v>
      </c>
      <c r="B404" s="248" t="s">
        <v>293</v>
      </c>
      <c r="C404" s="222">
        <v>67473</v>
      </c>
      <c r="D404" s="227">
        <v>23842</v>
      </c>
      <c r="E404" s="224">
        <f t="shared" si="9"/>
        <v>35.335615727772591</v>
      </c>
    </row>
    <row r="405" spans="1:5" hidden="1">
      <c r="A405" s="369">
        <v>4220</v>
      </c>
      <c r="B405" s="248" t="s">
        <v>293</v>
      </c>
      <c r="C405" s="222">
        <v>24165</v>
      </c>
      <c r="D405" s="227">
        <v>302.74</v>
      </c>
      <c r="E405" s="224">
        <f t="shared" si="9"/>
        <v>1.2528036416304573</v>
      </c>
    </row>
    <row r="406" spans="1:5" hidden="1">
      <c r="A406" s="369">
        <v>4240</v>
      </c>
      <c r="B406" s="221" t="s">
        <v>270</v>
      </c>
      <c r="C406" s="222">
        <v>500</v>
      </c>
      <c r="D406" s="227">
        <v>396.72</v>
      </c>
      <c r="E406" s="224">
        <f t="shared" si="9"/>
        <v>79.343999999999994</v>
      </c>
    </row>
    <row r="407" spans="1:5" hidden="1">
      <c r="A407" s="369">
        <v>4240</v>
      </c>
      <c r="B407" s="221" t="s">
        <v>270</v>
      </c>
      <c r="C407" s="222">
        <v>2000</v>
      </c>
      <c r="D407" s="227">
        <v>1000</v>
      </c>
      <c r="E407" s="224">
        <f t="shared" si="9"/>
        <v>50</v>
      </c>
    </row>
    <row r="408" spans="1:5" hidden="1">
      <c r="A408" s="369">
        <v>4240</v>
      </c>
      <c r="B408" s="221" t="s">
        <v>270</v>
      </c>
      <c r="C408" s="222">
        <v>2400</v>
      </c>
      <c r="D408" s="227">
        <v>2388.92</v>
      </c>
      <c r="E408" s="224">
        <f t="shared" si="9"/>
        <v>99.538333333333327</v>
      </c>
    </row>
    <row r="409" spans="1:5" hidden="1">
      <c r="A409" s="369">
        <v>4240</v>
      </c>
      <c r="B409" s="221" t="s">
        <v>270</v>
      </c>
      <c r="C409" s="222">
        <v>1432</v>
      </c>
      <c r="D409" s="227">
        <v>505.59</v>
      </c>
      <c r="E409" s="224">
        <f t="shared" si="9"/>
        <v>35.306564245810058</v>
      </c>
    </row>
    <row r="410" spans="1:5" hidden="1">
      <c r="A410" s="369">
        <v>4240</v>
      </c>
      <c r="B410" s="221" t="s">
        <v>270</v>
      </c>
      <c r="C410" s="222">
        <v>720</v>
      </c>
      <c r="D410" s="227">
        <v>180.3</v>
      </c>
      <c r="E410" s="224">
        <f t="shared" si="9"/>
        <v>25.041666666666668</v>
      </c>
    </row>
    <row r="411" spans="1:5" hidden="1">
      <c r="A411" s="369">
        <v>4240</v>
      </c>
      <c r="B411" s="221" t="s">
        <v>270</v>
      </c>
      <c r="C411" s="222">
        <v>240</v>
      </c>
      <c r="D411" s="227">
        <v>60.1</v>
      </c>
      <c r="E411" s="224">
        <f t="shared" si="9"/>
        <v>25.041666666666668</v>
      </c>
    </row>
    <row r="412" spans="1:5" hidden="1">
      <c r="A412" s="369">
        <v>4240</v>
      </c>
      <c r="B412" s="248" t="s">
        <v>270</v>
      </c>
      <c r="C412" s="222">
        <v>1023</v>
      </c>
      <c r="D412" s="227">
        <v>279.13</v>
      </c>
      <c r="E412" s="224">
        <f t="shared" si="9"/>
        <v>27.285434995112414</v>
      </c>
    </row>
    <row r="413" spans="1:5" hidden="1">
      <c r="A413" s="369">
        <v>4240</v>
      </c>
      <c r="B413" s="221" t="s">
        <v>270</v>
      </c>
      <c r="C413" s="222">
        <v>240</v>
      </c>
      <c r="D413" s="227">
        <v>60.1</v>
      </c>
      <c r="E413" s="224">
        <f t="shared" si="9"/>
        <v>25.041666666666668</v>
      </c>
    </row>
    <row r="414" spans="1:5" hidden="1">
      <c r="A414" s="361">
        <v>4240</v>
      </c>
      <c r="B414" s="221" t="s">
        <v>270</v>
      </c>
      <c r="C414" s="222">
        <v>5000</v>
      </c>
      <c r="D414" s="227">
        <v>3499</v>
      </c>
      <c r="E414" s="224">
        <f t="shared" si="9"/>
        <v>69.98</v>
      </c>
    </row>
    <row r="415" spans="1:5" hidden="1">
      <c r="A415" s="369">
        <v>4240</v>
      </c>
      <c r="B415" s="248" t="s">
        <v>270</v>
      </c>
      <c r="C415" s="222">
        <v>8000</v>
      </c>
      <c r="D415" s="227">
        <v>821.34</v>
      </c>
      <c r="E415" s="224">
        <f t="shared" si="9"/>
        <v>10.26675</v>
      </c>
    </row>
    <row r="416" spans="1:5" hidden="1">
      <c r="A416" s="369">
        <v>4240</v>
      </c>
      <c r="B416" s="248" t="s">
        <v>270</v>
      </c>
      <c r="C416" s="222">
        <v>5088</v>
      </c>
      <c r="D416" s="227">
        <v>2208</v>
      </c>
      <c r="E416" s="224">
        <f t="shared" si="9"/>
        <v>43.39622641509434</v>
      </c>
    </row>
    <row r="417" spans="1:5" hidden="1">
      <c r="A417" s="361">
        <v>4240</v>
      </c>
      <c r="B417" s="248" t="s">
        <v>270</v>
      </c>
      <c r="C417" s="222">
        <v>3000</v>
      </c>
      <c r="D417" s="227">
        <v>0</v>
      </c>
      <c r="E417" s="224">
        <f t="shared" si="9"/>
        <v>0</v>
      </c>
    </row>
    <row r="418" spans="1:5" hidden="1">
      <c r="A418" s="369">
        <v>4240</v>
      </c>
      <c r="B418" s="248" t="s">
        <v>270</v>
      </c>
      <c r="C418" s="222">
        <v>1463</v>
      </c>
      <c r="D418" s="227">
        <v>318.42</v>
      </c>
      <c r="E418" s="224">
        <f t="shared" si="9"/>
        <v>21.764866712235133</v>
      </c>
    </row>
    <row r="419" spans="1:5" hidden="1">
      <c r="A419" s="369">
        <v>4240</v>
      </c>
      <c r="B419" s="248" t="s">
        <v>270</v>
      </c>
      <c r="C419" s="222">
        <v>1485</v>
      </c>
      <c r="D419" s="227">
        <v>0</v>
      </c>
      <c r="E419" s="224">
        <f t="shared" si="9"/>
        <v>0</v>
      </c>
    </row>
    <row r="420" spans="1:5" hidden="1">
      <c r="A420" s="369">
        <v>4250</v>
      </c>
      <c r="B420" s="221" t="s">
        <v>264</v>
      </c>
      <c r="C420" s="222">
        <v>5000</v>
      </c>
      <c r="D420" s="227">
        <v>0</v>
      </c>
      <c r="E420" s="224">
        <f t="shared" si="9"/>
        <v>0</v>
      </c>
    </row>
    <row r="421" spans="1:5" hidden="1">
      <c r="A421" s="369">
        <v>4260</v>
      </c>
      <c r="B421" s="221" t="s">
        <v>228</v>
      </c>
      <c r="C421" s="222">
        <v>10000</v>
      </c>
      <c r="D421" s="227">
        <v>9664.69</v>
      </c>
      <c r="E421" s="224">
        <f t="shared" si="9"/>
        <v>96.646900000000002</v>
      </c>
    </row>
    <row r="422" spans="1:5" hidden="1">
      <c r="A422" s="369">
        <v>4260</v>
      </c>
      <c r="B422" s="221" t="s">
        <v>228</v>
      </c>
      <c r="C422" s="222">
        <v>22500</v>
      </c>
      <c r="D422" s="227">
        <v>10983.28</v>
      </c>
      <c r="E422" s="224">
        <f t="shared" si="9"/>
        <v>48.814577777777778</v>
      </c>
    </row>
    <row r="423" spans="1:5" hidden="1">
      <c r="A423" s="369">
        <v>4260</v>
      </c>
      <c r="B423" s="221" t="s">
        <v>228</v>
      </c>
      <c r="C423" s="222">
        <v>7307</v>
      </c>
      <c r="D423" s="227">
        <v>2515.38</v>
      </c>
      <c r="E423" s="224">
        <f t="shared" si="9"/>
        <v>34.42425071848912</v>
      </c>
    </row>
    <row r="424" spans="1:5" hidden="1">
      <c r="A424" s="369">
        <v>4260</v>
      </c>
      <c r="B424" s="221" t="s">
        <v>228</v>
      </c>
      <c r="C424" s="222">
        <v>78000</v>
      </c>
      <c r="D424" s="227">
        <v>40307.129999999997</v>
      </c>
      <c r="E424" s="224">
        <f t="shared" si="9"/>
        <v>51.675807692307686</v>
      </c>
    </row>
    <row r="425" spans="1:5" hidden="1">
      <c r="A425" s="369">
        <v>4260</v>
      </c>
      <c r="B425" s="221" t="s">
        <v>228</v>
      </c>
      <c r="C425" s="222">
        <v>34000</v>
      </c>
      <c r="D425" s="227">
        <v>23933.98</v>
      </c>
      <c r="E425" s="224">
        <f t="shared" si="9"/>
        <v>70.394058823529406</v>
      </c>
    </row>
    <row r="426" spans="1:5" hidden="1">
      <c r="A426" s="369">
        <v>4260</v>
      </c>
      <c r="B426" s="221" t="s">
        <v>228</v>
      </c>
      <c r="C426" s="222">
        <v>36825</v>
      </c>
      <c r="D426" s="227">
        <v>26475.48</v>
      </c>
      <c r="E426" s="224">
        <f t="shared" si="9"/>
        <v>71.895397148676167</v>
      </c>
    </row>
    <row r="427" spans="1:5" hidden="1">
      <c r="A427" s="369">
        <v>4260</v>
      </c>
      <c r="B427" s="221" t="s">
        <v>228</v>
      </c>
      <c r="C427" s="222">
        <v>500</v>
      </c>
      <c r="D427" s="227">
        <v>0</v>
      </c>
      <c r="E427" s="224">
        <f t="shared" si="9"/>
        <v>0</v>
      </c>
    </row>
    <row r="428" spans="1:5" hidden="1">
      <c r="A428" s="369">
        <v>4260</v>
      </c>
      <c r="B428" s="221" t="s">
        <v>228</v>
      </c>
      <c r="C428" s="222">
        <v>142823</v>
      </c>
      <c r="D428" s="227">
        <v>106254.21</v>
      </c>
      <c r="E428" s="224">
        <f t="shared" si="9"/>
        <v>74.395727578891353</v>
      </c>
    </row>
    <row r="429" spans="1:5" hidden="1">
      <c r="A429" s="369">
        <v>4260</v>
      </c>
      <c r="B429" s="221" t="s">
        <v>228</v>
      </c>
      <c r="C429" s="222">
        <v>10230</v>
      </c>
      <c r="D429" s="227">
        <v>8189.73</v>
      </c>
      <c r="E429" s="224">
        <f t="shared" si="9"/>
        <v>80.056011730205284</v>
      </c>
    </row>
    <row r="430" spans="1:5" hidden="1">
      <c r="A430" s="369">
        <v>4260</v>
      </c>
      <c r="B430" s="221" t="s">
        <v>228</v>
      </c>
      <c r="C430" s="222">
        <v>28883</v>
      </c>
      <c r="D430" s="227">
        <v>21398.65</v>
      </c>
      <c r="E430" s="224">
        <f t="shared" si="9"/>
        <v>74.087352421839839</v>
      </c>
    </row>
    <row r="431" spans="1:5" hidden="1">
      <c r="A431" s="369">
        <v>4260</v>
      </c>
      <c r="B431" s="221" t="s">
        <v>228</v>
      </c>
      <c r="C431" s="222">
        <v>7542</v>
      </c>
      <c r="D431" s="227">
        <v>4105.43</v>
      </c>
      <c r="E431" s="224">
        <f t="shared" si="9"/>
        <v>54.434234950941395</v>
      </c>
    </row>
    <row r="432" spans="1:5" hidden="1">
      <c r="A432" s="369">
        <v>4260</v>
      </c>
      <c r="B432" s="221" t="s">
        <v>228</v>
      </c>
      <c r="C432" s="222">
        <v>10250</v>
      </c>
      <c r="D432" s="227">
        <v>5404.25</v>
      </c>
      <c r="E432" s="224">
        <f t="shared" si="9"/>
        <v>52.724390243902441</v>
      </c>
    </row>
    <row r="433" spans="1:5" hidden="1">
      <c r="A433" s="369">
        <v>4260</v>
      </c>
      <c r="B433" s="221" t="s">
        <v>228</v>
      </c>
      <c r="C433" s="222">
        <v>10292</v>
      </c>
      <c r="D433" s="227">
        <v>7132.8</v>
      </c>
      <c r="E433" s="224">
        <f t="shared" si="9"/>
        <v>69.304314030314814</v>
      </c>
    </row>
    <row r="434" spans="1:5" hidden="1">
      <c r="A434" s="369">
        <v>4260</v>
      </c>
      <c r="B434" s="248" t="s">
        <v>228</v>
      </c>
      <c r="C434" s="222">
        <v>78298</v>
      </c>
      <c r="D434" s="227">
        <v>59638.95</v>
      </c>
      <c r="E434" s="224">
        <f t="shared" si="9"/>
        <v>76.169186952412574</v>
      </c>
    </row>
    <row r="435" spans="1:5" hidden="1">
      <c r="A435" s="369">
        <v>4260</v>
      </c>
      <c r="B435" s="248" t="s">
        <v>228</v>
      </c>
      <c r="C435" s="222">
        <v>21134</v>
      </c>
      <c r="D435" s="227">
        <v>10476.08</v>
      </c>
      <c r="E435" s="224">
        <f t="shared" si="9"/>
        <v>49.569792751017317</v>
      </c>
    </row>
    <row r="436" spans="1:5" hidden="1">
      <c r="A436" s="369">
        <v>4260</v>
      </c>
      <c r="B436" s="221" t="s">
        <v>228</v>
      </c>
      <c r="C436" s="222">
        <v>10292</v>
      </c>
      <c r="D436" s="227">
        <v>7132.8</v>
      </c>
      <c r="E436" s="224">
        <f t="shared" si="9"/>
        <v>69.304314030314814</v>
      </c>
    </row>
    <row r="437" spans="1:5" hidden="1">
      <c r="A437" s="369">
        <v>4260</v>
      </c>
      <c r="B437" s="221" t="s">
        <v>228</v>
      </c>
      <c r="C437" s="222">
        <v>36000</v>
      </c>
      <c r="D437" s="227">
        <v>18076.400000000001</v>
      </c>
      <c r="E437" s="224">
        <f t="shared" si="9"/>
        <v>50.212222222222231</v>
      </c>
    </row>
    <row r="438" spans="1:5" hidden="1">
      <c r="A438" s="369">
        <v>4260</v>
      </c>
      <c r="B438" s="221" t="s">
        <v>228</v>
      </c>
      <c r="C438" s="222">
        <v>7180</v>
      </c>
      <c r="D438" s="227">
        <v>5538.04</v>
      </c>
      <c r="E438" s="224">
        <f t="shared" si="9"/>
        <v>77.13147632311977</v>
      </c>
    </row>
    <row r="439" spans="1:5" hidden="1">
      <c r="A439" s="369">
        <v>4260</v>
      </c>
      <c r="B439" s="248" t="s">
        <v>228</v>
      </c>
      <c r="C439" s="222">
        <v>70000</v>
      </c>
      <c r="D439" s="227">
        <v>35712.15</v>
      </c>
      <c r="E439" s="224">
        <f t="shared" si="9"/>
        <v>51.017357142857144</v>
      </c>
    </row>
    <row r="440" spans="1:5" hidden="1">
      <c r="A440" s="369">
        <v>4260</v>
      </c>
      <c r="B440" s="248" t="s">
        <v>228</v>
      </c>
      <c r="C440" s="222">
        <v>14000</v>
      </c>
      <c r="D440" s="227">
        <v>7659.55</v>
      </c>
      <c r="E440" s="224">
        <f t="shared" si="9"/>
        <v>54.711071428571429</v>
      </c>
    </row>
    <row r="441" spans="1:5" hidden="1">
      <c r="A441" s="369">
        <v>4260</v>
      </c>
      <c r="B441" s="248" t="s">
        <v>228</v>
      </c>
      <c r="C441" s="222">
        <v>20000</v>
      </c>
      <c r="D441" s="227">
        <v>7851.3</v>
      </c>
      <c r="E441" s="224">
        <f t="shared" si="9"/>
        <v>39.256500000000003</v>
      </c>
    </row>
    <row r="442" spans="1:5" hidden="1">
      <c r="A442" s="369">
        <v>4260</v>
      </c>
      <c r="B442" s="248" t="s">
        <v>228</v>
      </c>
      <c r="C442" s="222">
        <v>51237</v>
      </c>
      <c r="D442" s="227">
        <v>28753.82</v>
      </c>
      <c r="E442" s="224">
        <f t="shared" si="9"/>
        <v>56.119249760914961</v>
      </c>
    </row>
    <row r="443" spans="1:5" hidden="1">
      <c r="A443" s="369">
        <v>4260</v>
      </c>
      <c r="B443" s="248" t="s">
        <v>228</v>
      </c>
      <c r="C443" s="222">
        <v>26000</v>
      </c>
      <c r="D443" s="227">
        <v>15842.73</v>
      </c>
      <c r="E443" s="224">
        <f t="shared" si="9"/>
        <v>60.93357692307692</v>
      </c>
    </row>
    <row r="444" spans="1:5" hidden="1">
      <c r="A444" s="369">
        <v>4260</v>
      </c>
      <c r="B444" s="248" t="s">
        <v>228</v>
      </c>
      <c r="C444" s="222">
        <v>7917</v>
      </c>
      <c r="D444" s="227">
        <v>3150.34</v>
      </c>
      <c r="E444" s="224">
        <f t="shared" si="9"/>
        <v>39.792092964506757</v>
      </c>
    </row>
    <row r="445" spans="1:5" hidden="1">
      <c r="A445" s="369">
        <v>4260</v>
      </c>
      <c r="B445" s="248" t="s">
        <v>228</v>
      </c>
      <c r="C445" s="222">
        <v>19942</v>
      </c>
      <c r="D445" s="227">
        <v>10113.15</v>
      </c>
      <c r="E445" s="224">
        <f t="shared" si="9"/>
        <v>50.712817169792395</v>
      </c>
    </row>
    <row r="446" spans="1:5" hidden="1">
      <c r="A446" s="369">
        <v>4260</v>
      </c>
      <c r="B446" s="248" t="s">
        <v>228</v>
      </c>
      <c r="C446" s="222">
        <v>15183</v>
      </c>
      <c r="D446" s="227">
        <v>7354.49</v>
      </c>
      <c r="E446" s="224">
        <f t="shared" si="9"/>
        <v>48.438977804123034</v>
      </c>
    </row>
    <row r="447" spans="1:5" hidden="1">
      <c r="A447" s="369">
        <v>4260</v>
      </c>
      <c r="B447" s="248" t="s">
        <v>228</v>
      </c>
      <c r="C447" s="222">
        <v>16982</v>
      </c>
      <c r="D447" s="227">
        <v>12803.91</v>
      </c>
      <c r="E447" s="224">
        <f t="shared" si="9"/>
        <v>75.396949711459186</v>
      </c>
    </row>
    <row r="448" spans="1:5" hidden="1">
      <c r="A448" s="369">
        <v>4260</v>
      </c>
      <c r="B448" s="248" t="s">
        <v>228</v>
      </c>
      <c r="C448" s="222">
        <v>2539</v>
      </c>
      <c r="D448" s="227">
        <v>2539</v>
      </c>
      <c r="E448" s="224">
        <f t="shared" si="9"/>
        <v>100</v>
      </c>
    </row>
    <row r="449" spans="1:5" hidden="1">
      <c r="A449" s="369">
        <v>4260</v>
      </c>
      <c r="B449" s="248" t="s">
        <v>228</v>
      </c>
      <c r="C449" s="222">
        <v>5000</v>
      </c>
      <c r="D449" s="227">
        <v>4825.43</v>
      </c>
      <c r="E449" s="224">
        <f t="shared" si="9"/>
        <v>96.508600000000001</v>
      </c>
    </row>
    <row r="450" spans="1:5" hidden="1">
      <c r="A450" s="369">
        <v>4270</v>
      </c>
      <c r="B450" s="221" t="s">
        <v>229</v>
      </c>
      <c r="C450" s="222">
        <v>117345</v>
      </c>
      <c r="D450" s="227">
        <v>87852.62</v>
      </c>
      <c r="E450" s="224">
        <f t="shared" si="9"/>
        <v>74.866947888704246</v>
      </c>
    </row>
    <row r="451" spans="1:5" hidden="1">
      <c r="A451" s="369">
        <v>4270</v>
      </c>
      <c r="B451" s="221" t="s">
        <v>229</v>
      </c>
      <c r="C451" s="222">
        <v>7000</v>
      </c>
      <c r="D451" s="227">
        <v>2924.04</v>
      </c>
      <c r="E451" s="224">
        <f t="shared" si="9"/>
        <v>41.771999999999998</v>
      </c>
    </row>
    <row r="452" spans="1:5" hidden="1">
      <c r="A452" s="369">
        <v>4270</v>
      </c>
      <c r="B452" s="221" t="s">
        <v>229</v>
      </c>
      <c r="C452" s="222">
        <v>610</v>
      </c>
      <c r="D452" s="227">
        <v>152.5</v>
      </c>
      <c r="E452" s="224">
        <f t="shared" si="9"/>
        <v>25</v>
      </c>
    </row>
    <row r="453" spans="1:5" hidden="1">
      <c r="A453" s="369">
        <v>4270</v>
      </c>
      <c r="B453" s="221" t="s">
        <v>229</v>
      </c>
      <c r="C453" s="222">
        <v>50000</v>
      </c>
      <c r="D453" s="227">
        <v>7372.73</v>
      </c>
      <c r="E453" s="224">
        <f t="shared" si="9"/>
        <v>14.74546</v>
      </c>
    </row>
    <row r="454" spans="1:5" hidden="1">
      <c r="A454" s="369">
        <v>4270</v>
      </c>
      <c r="B454" s="221" t="s">
        <v>229</v>
      </c>
      <c r="C454" s="222">
        <v>35000</v>
      </c>
      <c r="D454" s="227">
        <v>16835.53</v>
      </c>
      <c r="E454" s="224">
        <f t="shared" si="9"/>
        <v>48.101514285714288</v>
      </c>
    </row>
    <row r="455" spans="1:5" hidden="1">
      <c r="A455" s="369">
        <v>4270</v>
      </c>
      <c r="B455" s="221" t="s">
        <v>229</v>
      </c>
      <c r="C455" s="222">
        <v>7600</v>
      </c>
      <c r="D455" s="227">
        <v>4117.38</v>
      </c>
      <c r="E455" s="224">
        <f t="shared" si="9"/>
        <v>54.176052631578948</v>
      </c>
    </row>
    <row r="456" spans="1:5" hidden="1">
      <c r="A456" s="369">
        <v>4270</v>
      </c>
      <c r="B456" s="221" t="s">
        <v>229</v>
      </c>
      <c r="C456" s="222">
        <v>1500</v>
      </c>
      <c r="D456" s="227">
        <v>575.79</v>
      </c>
      <c r="E456" s="224">
        <f t="shared" si="9"/>
        <v>38.386000000000003</v>
      </c>
    </row>
    <row r="457" spans="1:5" hidden="1">
      <c r="A457" s="369">
        <v>4270</v>
      </c>
      <c r="B457" s="221" t="s">
        <v>229</v>
      </c>
      <c r="C457" s="222">
        <v>500</v>
      </c>
      <c r="D457" s="227">
        <v>191.93</v>
      </c>
      <c r="E457" s="224">
        <f t="shared" ref="E457:E520" si="10">D457*100/C457</f>
        <v>38.386000000000003</v>
      </c>
    </row>
    <row r="458" spans="1:5" hidden="1">
      <c r="A458" s="369">
        <v>4270</v>
      </c>
      <c r="B458" s="221" t="s">
        <v>229</v>
      </c>
      <c r="C458" s="222">
        <v>15000</v>
      </c>
      <c r="D458" s="227">
        <v>15000.01</v>
      </c>
      <c r="E458" s="224">
        <f t="shared" si="10"/>
        <v>100.00006666666667</v>
      </c>
    </row>
    <row r="459" spans="1:5" hidden="1">
      <c r="A459" s="369">
        <v>4270</v>
      </c>
      <c r="B459" s="221" t="s">
        <v>229</v>
      </c>
      <c r="C459" s="222">
        <v>2000</v>
      </c>
      <c r="D459" s="227">
        <v>0</v>
      </c>
      <c r="E459" s="224">
        <f t="shared" si="10"/>
        <v>0</v>
      </c>
    </row>
    <row r="460" spans="1:5" hidden="1">
      <c r="A460" s="369">
        <v>4270</v>
      </c>
      <c r="B460" s="221" t="s">
        <v>229</v>
      </c>
      <c r="C460" s="222">
        <v>500</v>
      </c>
      <c r="D460" s="227">
        <v>191.93</v>
      </c>
      <c r="E460" s="224">
        <f t="shared" si="10"/>
        <v>38.386000000000003</v>
      </c>
    </row>
    <row r="461" spans="1:5" hidden="1">
      <c r="A461" s="369">
        <v>4270</v>
      </c>
      <c r="B461" s="221" t="s">
        <v>229</v>
      </c>
      <c r="C461" s="222">
        <v>5000</v>
      </c>
      <c r="D461" s="227">
        <v>5000</v>
      </c>
      <c r="E461" s="224">
        <f t="shared" si="10"/>
        <v>100</v>
      </c>
    </row>
    <row r="462" spans="1:5" hidden="1">
      <c r="A462" s="369">
        <v>4270</v>
      </c>
      <c r="B462" s="248" t="s">
        <v>229</v>
      </c>
      <c r="C462" s="222">
        <v>3000</v>
      </c>
      <c r="D462" s="227">
        <v>107.36</v>
      </c>
      <c r="E462" s="224">
        <f t="shared" si="10"/>
        <v>3.5786666666666669</v>
      </c>
    </row>
    <row r="463" spans="1:5" hidden="1">
      <c r="A463" s="369">
        <v>4270</v>
      </c>
      <c r="B463" s="248" t="s">
        <v>229</v>
      </c>
      <c r="C463" s="222">
        <v>4043</v>
      </c>
      <c r="D463" s="227">
        <v>1476</v>
      </c>
      <c r="E463" s="224">
        <f t="shared" si="10"/>
        <v>36.507543903042297</v>
      </c>
    </row>
    <row r="464" spans="1:5" hidden="1">
      <c r="A464" s="369">
        <v>4270</v>
      </c>
      <c r="B464" s="248" t="s">
        <v>229</v>
      </c>
      <c r="C464" s="222">
        <v>4844</v>
      </c>
      <c r="D464" s="227">
        <v>1927</v>
      </c>
      <c r="E464" s="224">
        <f t="shared" si="10"/>
        <v>39.781172584640792</v>
      </c>
    </row>
    <row r="465" spans="1:5" hidden="1">
      <c r="A465" s="369">
        <v>4270</v>
      </c>
      <c r="B465" s="248" t="s">
        <v>229</v>
      </c>
      <c r="C465" s="222">
        <v>4092</v>
      </c>
      <c r="D465" s="227">
        <v>1945.95</v>
      </c>
      <c r="E465" s="224">
        <f t="shared" si="10"/>
        <v>47.554985337243401</v>
      </c>
    </row>
    <row r="466" spans="1:5" hidden="1">
      <c r="A466" s="369">
        <v>4270</v>
      </c>
      <c r="B466" s="248" t="s">
        <v>229</v>
      </c>
      <c r="C466" s="222">
        <v>1448</v>
      </c>
      <c r="D466" s="227">
        <v>1447.2</v>
      </c>
      <c r="E466" s="224">
        <f t="shared" si="10"/>
        <v>99.944751381215468</v>
      </c>
    </row>
    <row r="467" spans="1:5" hidden="1">
      <c r="A467" s="369">
        <v>4270</v>
      </c>
      <c r="B467" s="248" t="s">
        <v>229</v>
      </c>
      <c r="C467" s="222">
        <v>3546</v>
      </c>
      <c r="D467" s="227">
        <v>1606.4</v>
      </c>
      <c r="E467" s="224">
        <f t="shared" si="10"/>
        <v>45.301748448956573</v>
      </c>
    </row>
    <row r="468" spans="1:5" hidden="1">
      <c r="A468" s="369">
        <v>4270</v>
      </c>
      <c r="B468" s="248" t="s">
        <v>229</v>
      </c>
      <c r="C468" s="222">
        <v>2400</v>
      </c>
      <c r="D468" s="227">
        <v>908.8</v>
      </c>
      <c r="E468" s="224">
        <f t="shared" si="10"/>
        <v>37.866666666666667</v>
      </c>
    </row>
    <row r="469" spans="1:5" hidden="1">
      <c r="A469" s="369">
        <v>4270</v>
      </c>
      <c r="B469" s="248" t="s">
        <v>229</v>
      </c>
      <c r="C469" s="222">
        <v>2989</v>
      </c>
      <c r="D469" s="227">
        <v>2989</v>
      </c>
      <c r="E469" s="224">
        <f t="shared" si="10"/>
        <v>100</v>
      </c>
    </row>
    <row r="470" spans="1:5" hidden="1">
      <c r="A470" s="369">
        <v>4270</v>
      </c>
      <c r="B470" s="248" t="s">
        <v>229</v>
      </c>
      <c r="C470" s="222">
        <v>30000</v>
      </c>
      <c r="D470" s="227">
        <v>1372.5</v>
      </c>
      <c r="E470" s="224">
        <f t="shared" si="10"/>
        <v>4.5750000000000002</v>
      </c>
    </row>
    <row r="471" spans="1:5" hidden="1">
      <c r="A471" s="369">
        <v>4280</v>
      </c>
      <c r="B471" s="221" t="s">
        <v>230</v>
      </c>
      <c r="C471" s="222">
        <v>500</v>
      </c>
      <c r="D471" s="227">
        <v>96</v>
      </c>
      <c r="E471" s="224">
        <f t="shared" si="10"/>
        <v>19.2</v>
      </c>
    </row>
    <row r="472" spans="1:5" hidden="1">
      <c r="A472" s="369">
        <v>4280</v>
      </c>
      <c r="B472" s="221" t="s">
        <v>230</v>
      </c>
      <c r="C472" s="222">
        <v>180</v>
      </c>
      <c r="D472" s="227">
        <v>0</v>
      </c>
      <c r="E472" s="224">
        <f t="shared" si="10"/>
        <v>0</v>
      </c>
    </row>
    <row r="473" spans="1:5" hidden="1">
      <c r="A473" s="369">
        <v>4280</v>
      </c>
      <c r="B473" s="221" t="s">
        <v>230</v>
      </c>
      <c r="C473" s="222">
        <v>1200</v>
      </c>
      <c r="D473" s="227">
        <v>468</v>
      </c>
      <c r="E473" s="224">
        <f t="shared" si="10"/>
        <v>39</v>
      </c>
    </row>
    <row r="474" spans="1:5" hidden="1">
      <c r="A474" s="369">
        <v>4280</v>
      </c>
      <c r="B474" s="221" t="s">
        <v>230</v>
      </c>
      <c r="C474" s="222">
        <v>2000</v>
      </c>
      <c r="D474" s="227"/>
      <c r="E474" s="224">
        <f t="shared" si="10"/>
        <v>0</v>
      </c>
    </row>
    <row r="475" spans="1:5" hidden="1">
      <c r="A475" s="369">
        <v>4280</v>
      </c>
      <c r="B475" s="221" t="s">
        <v>230</v>
      </c>
      <c r="C475" s="222">
        <v>11500</v>
      </c>
      <c r="D475" s="227">
        <v>511</v>
      </c>
      <c r="E475" s="224">
        <f t="shared" si="10"/>
        <v>4.4434782608695649</v>
      </c>
    </row>
    <row r="476" spans="1:5" hidden="1">
      <c r="A476" s="369">
        <v>4280</v>
      </c>
      <c r="B476" s="221" t="s">
        <v>230</v>
      </c>
      <c r="C476" s="222">
        <v>1300</v>
      </c>
      <c r="D476" s="227">
        <v>436</v>
      </c>
      <c r="E476" s="224">
        <f t="shared" si="10"/>
        <v>33.53846153846154</v>
      </c>
    </row>
    <row r="477" spans="1:5" hidden="1">
      <c r="A477" s="369">
        <v>4280</v>
      </c>
      <c r="B477" s="221" t="s">
        <v>230</v>
      </c>
      <c r="C477" s="222">
        <v>500</v>
      </c>
      <c r="D477" s="227">
        <v>100</v>
      </c>
      <c r="E477" s="224">
        <f t="shared" si="10"/>
        <v>20</v>
      </c>
    </row>
    <row r="478" spans="1:5" hidden="1">
      <c r="A478" s="369">
        <v>4280</v>
      </c>
      <c r="B478" s="221" t="s">
        <v>230</v>
      </c>
      <c r="C478" s="222">
        <v>709</v>
      </c>
      <c r="D478" s="227">
        <v>265</v>
      </c>
      <c r="E478" s="224">
        <f t="shared" si="10"/>
        <v>37.376586741889987</v>
      </c>
    </row>
    <row r="479" spans="1:5" hidden="1">
      <c r="A479" s="369">
        <v>4280</v>
      </c>
      <c r="B479" s="221" t="s">
        <v>230</v>
      </c>
      <c r="C479" s="222">
        <v>300</v>
      </c>
      <c r="D479" s="227">
        <v>18</v>
      </c>
      <c r="E479" s="224">
        <f t="shared" si="10"/>
        <v>6</v>
      </c>
    </row>
    <row r="480" spans="1:5" hidden="1">
      <c r="A480" s="369">
        <v>4280</v>
      </c>
      <c r="B480" s="221" t="s">
        <v>230</v>
      </c>
      <c r="C480" s="222">
        <v>61</v>
      </c>
      <c r="D480" s="227">
        <v>39.97</v>
      </c>
      <c r="E480" s="224">
        <f t="shared" si="10"/>
        <v>65.52459016393442</v>
      </c>
    </row>
    <row r="481" spans="1:5" hidden="1">
      <c r="A481" s="369">
        <v>4280</v>
      </c>
      <c r="B481" s="221" t="s">
        <v>230</v>
      </c>
      <c r="C481" s="222">
        <v>83</v>
      </c>
      <c r="D481" s="227">
        <v>54.33</v>
      </c>
      <c r="E481" s="224">
        <f t="shared" si="10"/>
        <v>65.4578313253012</v>
      </c>
    </row>
    <row r="482" spans="1:5" hidden="1">
      <c r="A482" s="369">
        <v>4280</v>
      </c>
      <c r="B482" s="221" t="s">
        <v>230</v>
      </c>
      <c r="C482" s="222">
        <v>100</v>
      </c>
      <c r="D482" s="227">
        <v>6</v>
      </c>
      <c r="E482" s="224">
        <f t="shared" si="10"/>
        <v>6</v>
      </c>
    </row>
    <row r="483" spans="1:5" hidden="1">
      <c r="A483" s="369">
        <v>4280</v>
      </c>
      <c r="B483" s="221" t="s">
        <v>230</v>
      </c>
      <c r="C483" s="222">
        <v>926</v>
      </c>
      <c r="D483" s="227">
        <v>605.70000000000005</v>
      </c>
      <c r="E483" s="224">
        <f t="shared" si="10"/>
        <v>65.410367170626358</v>
      </c>
    </row>
    <row r="484" spans="1:5" hidden="1">
      <c r="A484" s="369">
        <v>4280</v>
      </c>
      <c r="B484" s="221" t="s">
        <v>230</v>
      </c>
      <c r="C484" s="222">
        <v>1125</v>
      </c>
      <c r="D484" s="227">
        <v>60</v>
      </c>
      <c r="E484" s="224">
        <f t="shared" si="10"/>
        <v>5.333333333333333</v>
      </c>
    </row>
    <row r="485" spans="1:5" hidden="1">
      <c r="A485" s="369">
        <v>4280</v>
      </c>
      <c r="B485" s="221" t="s">
        <v>230</v>
      </c>
      <c r="C485" s="222">
        <v>100</v>
      </c>
      <c r="D485" s="227">
        <v>6</v>
      </c>
      <c r="E485" s="224">
        <f t="shared" si="10"/>
        <v>6</v>
      </c>
    </row>
    <row r="486" spans="1:5" hidden="1">
      <c r="A486" s="369">
        <v>4280</v>
      </c>
      <c r="B486" s="221" t="s">
        <v>230</v>
      </c>
      <c r="C486" s="222">
        <v>35</v>
      </c>
      <c r="D486" s="227">
        <v>35</v>
      </c>
      <c r="E486" s="224">
        <f t="shared" si="10"/>
        <v>100</v>
      </c>
    </row>
    <row r="487" spans="1:5" hidden="1">
      <c r="A487" s="369">
        <v>4280</v>
      </c>
      <c r="B487" s="221" t="s">
        <v>230</v>
      </c>
      <c r="C487" s="222">
        <v>2000</v>
      </c>
      <c r="D487" s="227">
        <v>1004.5</v>
      </c>
      <c r="E487" s="224">
        <f t="shared" si="10"/>
        <v>50.225000000000001</v>
      </c>
    </row>
    <row r="488" spans="1:5" hidden="1">
      <c r="A488" s="369">
        <v>4280</v>
      </c>
      <c r="B488" s="221" t="s">
        <v>230</v>
      </c>
      <c r="C488" s="222">
        <v>2500</v>
      </c>
      <c r="D488" s="227">
        <v>200</v>
      </c>
      <c r="E488" s="224">
        <f t="shared" si="10"/>
        <v>8</v>
      </c>
    </row>
    <row r="489" spans="1:5" hidden="1">
      <c r="A489" s="369">
        <v>4280</v>
      </c>
      <c r="B489" s="221" t="s">
        <v>230</v>
      </c>
      <c r="C489" s="222">
        <v>120</v>
      </c>
      <c r="D489" s="227">
        <v>0</v>
      </c>
      <c r="E489" s="224">
        <f t="shared" si="10"/>
        <v>0</v>
      </c>
    </row>
    <row r="490" spans="1:5" hidden="1">
      <c r="A490" s="369">
        <v>4280</v>
      </c>
      <c r="B490" s="221" t="s">
        <v>230</v>
      </c>
      <c r="C490" s="222">
        <v>1000</v>
      </c>
      <c r="D490" s="227">
        <v>135</v>
      </c>
      <c r="E490" s="224">
        <f t="shared" si="10"/>
        <v>13.5</v>
      </c>
    </row>
    <row r="491" spans="1:5" hidden="1">
      <c r="A491" s="369">
        <v>4280</v>
      </c>
      <c r="B491" s="221" t="s">
        <v>230</v>
      </c>
      <c r="C491" s="222">
        <v>225</v>
      </c>
      <c r="D491" s="227">
        <v>225</v>
      </c>
      <c r="E491" s="224">
        <f t="shared" si="10"/>
        <v>100</v>
      </c>
    </row>
    <row r="492" spans="1:5" hidden="1">
      <c r="A492" s="369">
        <v>4280</v>
      </c>
      <c r="B492" s="221" t="s">
        <v>230</v>
      </c>
      <c r="C492" s="222">
        <v>1330</v>
      </c>
      <c r="D492" s="227">
        <v>575</v>
      </c>
      <c r="E492" s="224">
        <f t="shared" si="10"/>
        <v>43.233082706766915</v>
      </c>
    </row>
    <row r="493" spans="1:5" hidden="1">
      <c r="A493" s="369">
        <v>4280</v>
      </c>
      <c r="B493" s="221" t="s">
        <v>230</v>
      </c>
      <c r="C493" s="222">
        <v>205</v>
      </c>
      <c r="D493" s="227">
        <v>114</v>
      </c>
      <c r="E493" s="224">
        <f t="shared" si="10"/>
        <v>55.609756097560975</v>
      </c>
    </row>
    <row r="494" spans="1:5" hidden="1">
      <c r="A494" s="369">
        <v>4280</v>
      </c>
      <c r="B494" s="248" t="s">
        <v>230</v>
      </c>
      <c r="C494" s="222">
        <v>470</v>
      </c>
      <c r="D494" s="227">
        <v>0</v>
      </c>
      <c r="E494" s="224">
        <f t="shared" si="10"/>
        <v>0</v>
      </c>
    </row>
    <row r="495" spans="1:5" hidden="1">
      <c r="A495" s="369">
        <v>4280</v>
      </c>
      <c r="B495" s="248" t="s">
        <v>230</v>
      </c>
      <c r="C495" s="222">
        <v>500</v>
      </c>
      <c r="D495" s="227">
        <v>340</v>
      </c>
      <c r="E495" s="224">
        <f t="shared" si="10"/>
        <v>68</v>
      </c>
    </row>
    <row r="496" spans="1:5" hidden="1">
      <c r="A496" s="369">
        <v>4300</v>
      </c>
      <c r="B496" s="221" t="s">
        <v>216</v>
      </c>
      <c r="C496" s="222">
        <v>22000</v>
      </c>
      <c r="D496" s="227">
        <v>0</v>
      </c>
      <c r="E496" s="224">
        <f t="shared" si="10"/>
        <v>0</v>
      </c>
    </row>
    <row r="497" spans="1:5" hidden="1">
      <c r="A497" s="369">
        <v>4300</v>
      </c>
      <c r="B497" s="221" t="s">
        <v>216</v>
      </c>
      <c r="C497" s="222">
        <v>287397</v>
      </c>
      <c r="D497" s="227">
        <v>124424.88</v>
      </c>
      <c r="E497" s="224">
        <f t="shared" si="10"/>
        <v>43.293729579640704</v>
      </c>
    </row>
    <row r="498" spans="1:5" hidden="1">
      <c r="A498" s="369">
        <v>4300</v>
      </c>
      <c r="B498" s="221" t="s">
        <v>216</v>
      </c>
      <c r="C498" s="222">
        <v>91682</v>
      </c>
      <c r="D498" s="227">
        <v>71969.02</v>
      </c>
      <c r="E498" s="224">
        <f t="shared" si="10"/>
        <v>78.498527519033175</v>
      </c>
    </row>
    <row r="499" spans="1:5" hidden="1">
      <c r="A499" s="361">
        <v>4300</v>
      </c>
      <c r="B499" s="221" t="s">
        <v>216</v>
      </c>
      <c r="C499" s="222">
        <v>74000</v>
      </c>
      <c r="D499" s="227">
        <v>0</v>
      </c>
      <c r="E499" s="224">
        <f t="shared" si="10"/>
        <v>0</v>
      </c>
    </row>
    <row r="500" spans="1:5" hidden="1">
      <c r="A500" s="361">
        <v>4300</v>
      </c>
      <c r="B500" s="221" t="s">
        <v>216</v>
      </c>
      <c r="C500" s="222">
        <v>19000</v>
      </c>
      <c r="D500" s="227"/>
      <c r="E500" s="224">
        <f t="shared" si="10"/>
        <v>0</v>
      </c>
    </row>
    <row r="501" spans="1:5" hidden="1">
      <c r="A501" s="369">
        <v>4300</v>
      </c>
      <c r="B501" s="221" t="s">
        <v>216</v>
      </c>
      <c r="C501" s="222">
        <v>2955</v>
      </c>
      <c r="D501" s="227">
        <v>924.04</v>
      </c>
      <c r="E501" s="224">
        <f t="shared" si="10"/>
        <v>31.270389170896784</v>
      </c>
    </row>
    <row r="502" spans="1:5" hidden="1">
      <c r="A502" s="369">
        <v>4300</v>
      </c>
      <c r="B502" s="221" t="s">
        <v>216</v>
      </c>
      <c r="C502" s="222">
        <v>6500</v>
      </c>
      <c r="D502" s="227">
        <v>5674.15</v>
      </c>
      <c r="E502" s="224">
        <f t="shared" si="10"/>
        <v>87.294615384615383</v>
      </c>
    </row>
    <row r="503" spans="1:5" hidden="1">
      <c r="A503" s="369">
        <v>4300</v>
      </c>
      <c r="B503" s="221" t="s">
        <v>216</v>
      </c>
      <c r="C503" s="222">
        <v>360000</v>
      </c>
      <c r="D503" s="227">
        <v>184374.95</v>
      </c>
      <c r="E503" s="224">
        <f t="shared" si="10"/>
        <v>51.215263888888892</v>
      </c>
    </row>
    <row r="504" spans="1:5" hidden="1">
      <c r="A504" s="369">
        <v>4300</v>
      </c>
      <c r="B504" s="221" t="s">
        <v>216</v>
      </c>
      <c r="C504" s="222">
        <v>2113</v>
      </c>
      <c r="D504" s="227">
        <v>2113</v>
      </c>
      <c r="E504" s="224">
        <f t="shared" si="10"/>
        <v>100</v>
      </c>
    </row>
    <row r="505" spans="1:5" hidden="1">
      <c r="A505" s="369">
        <v>4300</v>
      </c>
      <c r="B505" s="221" t="s">
        <v>216</v>
      </c>
      <c r="C505" s="222">
        <v>50330</v>
      </c>
      <c r="D505" s="227">
        <v>27694.57</v>
      </c>
      <c r="E505" s="224">
        <f t="shared" si="10"/>
        <v>55.025968607192532</v>
      </c>
    </row>
    <row r="506" spans="1:5" hidden="1">
      <c r="A506" s="369">
        <v>4300</v>
      </c>
      <c r="B506" s="221" t="s">
        <v>216</v>
      </c>
      <c r="C506" s="222">
        <v>18137</v>
      </c>
      <c r="D506" s="227">
        <v>12583.64</v>
      </c>
      <c r="E506" s="224">
        <f t="shared" si="10"/>
        <v>69.381044274135746</v>
      </c>
    </row>
    <row r="507" spans="1:5" hidden="1">
      <c r="A507" s="369">
        <v>4300</v>
      </c>
      <c r="B507" s="221" t="s">
        <v>343</v>
      </c>
      <c r="C507" s="222">
        <v>3000</v>
      </c>
      <c r="D507" s="227">
        <v>1600</v>
      </c>
      <c r="E507" s="224">
        <f t="shared" si="10"/>
        <v>53.333333333333336</v>
      </c>
    </row>
    <row r="508" spans="1:5" hidden="1">
      <c r="A508" s="369">
        <v>4300</v>
      </c>
      <c r="B508" s="221" t="s">
        <v>216</v>
      </c>
      <c r="C508" s="222">
        <v>10633</v>
      </c>
      <c r="D508" s="227">
        <v>3491.58</v>
      </c>
      <c r="E508" s="224">
        <f t="shared" si="10"/>
        <v>32.83720492805417</v>
      </c>
    </row>
    <row r="509" spans="1:5" hidden="1">
      <c r="A509" s="369">
        <v>4300</v>
      </c>
      <c r="B509" s="221" t="s">
        <v>216</v>
      </c>
      <c r="C509" s="222">
        <v>38918</v>
      </c>
      <c r="D509" s="227">
        <v>0</v>
      </c>
      <c r="E509" s="224">
        <f t="shared" si="10"/>
        <v>0</v>
      </c>
    </row>
    <row r="510" spans="1:5" hidden="1">
      <c r="A510" s="369">
        <v>4300</v>
      </c>
      <c r="B510" s="221" t="s">
        <v>216</v>
      </c>
      <c r="C510" s="222">
        <v>3800</v>
      </c>
      <c r="D510" s="227">
        <v>2000</v>
      </c>
      <c r="E510" s="224">
        <f t="shared" si="10"/>
        <v>52.631578947368418</v>
      </c>
    </row>
    <row r="511" spans="1:5" hidden="1">
      <c r="A511" s="369">
        <v>4300</v>
      </c>
      <c r="B511" s="221" t="s">
        <v>216</v>
      </c>
      <c r="C511" s="222">
        <v>14000</v>
      </c>
      <c r="D511" s="227">
        <v>10710.24</v>
      </c>
      <c r="E511" s="224">
        <f t="shared" si="10"/>
        <v>76.501714285714286</v>
      </c>
    </row>
    <row r="512" spans="1:5" hidden="1">
      <c r="A512" s="369">
        <v>4300</v>
      </c>
      <c r="B512" s="221" t="s">
        <v>216</v>
      </c>
      <c r="C512" s="222">
        <v>26744</v>
      </c>
      <c r="D512" s="227">
        <v>12744.44</v>
      </c>
      <c r="E512" s="224">
        <f t="shared" si="10"/>
        <v>47.65345498055639</v>
      </c>
    </row>
    <row r="513" spans="1:5" hidden="1">
      <c r="A513" s="369">
        <v>4300</v>
      </c>
      <c r="B513" s="221" t="s">
        <v>216</v>
      </c>
      <c r="C513" s="222">
        <v>14130</v>
      </c>
      <c r="D513" s="227">
        <v>9264</v>
      </c>
      <c r="E513" s="224">
        <f t="shared" si="10"/>
        <v>65.562632696390665</v>
      </c>
    </row>
    <row r="514" spans="1:5" hidden="1">
      <c r="A514" s="369">
        <v>4300</v>
      </c>
      <c r="B514" s="221" t="s">
        <v>216</v>
      </c>
      <c r="C514" s="222">
        <v>88000</v>
      </c>
      <c r="D514" s="227">
        <v>8540</v>
      </c>
      <c r="E514" s="224">
        <f t="shared" si="10"/>
        <v>9.704545454545455</v>
      </c>
    </row>
    <row r="515" spans="1:5" hidden="1">
      <c r="A515" s="369">
        <v>4300</v>
      </c>
      <c r="B515" s="221" t="s">
        <v>216</v>
      </c>
      <c r="C515" s="222">
        <v>5952</v>
      </c>
      <c r="D515" s="227">
        <v>1441.5</v>
      </c>
      <c r="E515" s="224">
        <f t="shared" si="10"/>
        <v>24.21875</v>
      </c>
    </row>
    <row r="516" spans="1:5" hidden="1">
      <c r="A516" s="369">
        <v>4300</v>
      </c>
      <c r="B516" s="221" t="s">
        <v>216</v>
      </c>
      <c r="C516" s="222">
        <v>88</v>
      </c>
      <c r="D516" s="227">
        <v>88</v>
      </c>
      <c r="E516" s="224">
        <f t="shared" si="10"/>
        <v>100</v>
      </c>
    </row>
    <row r="517" spans="1:5" hidden="1">
      <c r="A517" s="369">
        <v>4300</v>
      </c>
      <c r="B517" s="221" t="s">
        <v>216</v>
      </c>
      <c r="C517" s="222">
        <v>10003</v>
      </c>
      <c r="D517" s="227">
        <v>1958.43</v>
      </c>
      <c r="E517" s="224">
        <f t="shared" si="10"/>
        <v>19.578426472058382</v>
      </c>
    </row>
    <row r="518" spans="1:5" hidden="1">
      <c r="A518" s="369">
        <v>4300</v>
      </c>
      <c r="B518" s="221" t="s">
        <v>216</v>
      </c>
      <c r="C518" s="222">
        <v>4710</v>
      </c>
      <c r="D518" s="227">
        <v>3088.62</v>
      </c>
      <c r="E518" s="224">
        <f t="shared" si="10"/>
        <v>65.57579617834395</v>
      </c>
    </row>
    <row r="519" spans="1:5" hidden="1">
      <c r="A519" s="369">
        <v>4300</v>
      </c>
      <c r="B519" s="248" t="s">
        <v>216</v>
      </c>
      <c r="C519" s="222">
        <v>68171</v>
      </c>
      <c r="D519" s="227">
        <v>45117.73</v>
      </c>
      <c r="E519" s="224">
        <f t="shared" si="10"/>
        <v>66.183171729914477</v>
      </c>
    </row>
    <row r="520" spans="1:5" hidden="1">
      <c r="A520" s="369">
        <v>4300</v>
      </c>
      <c r="B520" s="248" t="s">
        <v>216</v>
      </c>
      <c r="C520" s="222">
        <v>19112</v>
      </c>
      <c r="D520" s="227">
        <v>13659.56</v>
      </c>
      <c r="E520" s="224">
        <f t="shared" si="10"/>
        <v>71.471117622436168</v>
      </c>
    </row>
    <row r="521" spans="1:5" hidden="1">
      <c r="A521" s="369">
        <v>4300</v>
      </c>
      <c r="B521" s="221" t="s">
        <v>216</v>
      </c>
      <c r="C521" s="222">
        <v>4710</v>
      </c>
      <c r="D521" s="227">
        <v>3088.98</v>
      </c>
      <c r="E521" s="224">
        <f t="shared" ref="E521:E584" si="11">D521*100/C521</f>
        <v>65.583439490445855</v>
      </c>
    </row>
    <row r="522" spans="1:5" hidden="1">
      <c r="A522" s="369">
        <v>4300</v>
      </c>
      <c r="B522" s="221" t="s">
        <v>216</v>
      </c>
      <c r="C522" s="222">
        <v>4000</v>
      </c>
      <c r="D522" s="227">
        <v>1187.1099999999999</v>
      </c>
      <c r="E522" s="224">
        <f t="shared" si="11"/>
        <v>29.677749999999996</v>
      </c>
    </row>
    <row r="523" spans="1:5" hidden="1">
      <c r="A523" s="361">
        <v>4300</v>
      </c>
      <c r="B523" s="248" t="s">
        <v>216</v>
      </c>
      <c r="C523" s="222">
        <v>7193</v>
      </c>
      <c r="D523" s="227">
        <v>3900</v>
      </c>
      <c r="E523" s="224">
        <f t="shared" si="11"/>
        <v>54.219379952731821</v>
      </c>
    </row>
    <row r="524" spans="1:5" hidden="1">
      <c r="A524" s="361">
        <v>4300</v>
      </c>
      <c r="B524" s="248" t="s">
        <v>216</v>
      </c>
      <c r="C524" s="222">
        <v>9600</v>
      </c>
      <c r="D524" s="227">
        <v>9600</v>
      </c>
      <c r="E524" s="224">
        <f t="shared" si="11"/>
        <v>100</v>
      </c>
    </row>
    <row r="525" spans="1:5" hidden="1">
      <c r="A525" s="361">
        <v>4300</v>
      </c>
      <c r="B525" s="248" t="s">
        <v>216</v>
      </c>
      <c r="C525" s="222">
        <v>7092</v>
      </c>
      <c r="D525" s="227">
        <v>1550</v>
      </c>
      <c r="E525" s="224">
        <f t="shared" si="11"/>
        <v>21.855611957134801</v>
      </c>
    </row>
    <row r="526" spans="1:5" hidden="1">
      <c r="A526" s="361">
        <v>4300</v>
      </c>
      <c r="B526" s="248" t="s">
        <v>216</v>
      </c>
      <c r="C526" s="222">
        <v>1800</v>
      </c>
      <c r="D526" s="227">
        <v>350</v>
      </c>
      <c r="E526" s="224">
        <f t="shared" si="11"/>
        <v>19.444444444444443</v>
      </c>
    </row>
    <row r="527" spans="1:5" hidden="1">
      <c r="A527" s="361">
        <v>4300</v>
      </c>
      <c r="B527" s="248" t="s">
        <v>216</v>
      </c>
      <c r="C527" s="222">
        <v>3917</v>
      </c>
      <c r="D527" s="227">
        <v>3250</v>
      </c>
      <c r="E527" s="224">
        <f t="shared" si="11"/>
        <v>82.971661986213945</v>
      </c>
    </row>
    <row r="528" spans="1:5" hidden="1">
      <c r="A528" s="361">
        <v>4300</v>
      </c>
      <c r="B528" s="248" t="s">
        <v>216</v>
      </c>
      <c r="C528" s="222">
        <v>7500</v>
      </c>
      <c r="D528" s="227">
        <v>1192</v>
      </c>
      <c r="E528" s="224">
        <f t="shared" si="11"/>
        <v>15.893333333333333</v>
      </c>
    </row>
    <row r="529" spans="1:5" hidden="1">
      <c r="A529" s="361">
        <v>4300</v>
      </c>
      <c r="B529" s="248" t="s">
        <v>216</v>
      </c>
      <c r="C529" s="222">
        <v>10694</v>
      </c>
      <c r="D529" s="227">
        <v>1790.52</v>
      </c>
      <c r="E529" s="224">
        <f t="shared" si="11"/>
        <v>16.743220497475221</v>
      </c>
    </row>
    <row r="530" spans="1:5" hidden="1">
      <c r="A530" s="361">
        <v>4300</v>
      </c>
      <c r="B530" s="248" t="s">
        <v>216</v>
      </c>
      <c r="C530" s="222">
        <v>2100</v>
      </c>
      <c r="D530" s="227">
        <v>1068.93</v>
      </c>
      <c r="E530" s="224">
        <f t="shared" si="11"/>
        <v>50.901428571428575</v>
      </c>
    </row>
    <row r="531" spans="1:5" hidden="1">
      <c r="A531" s="369">
        <v>4300</v>
      </c>
      <c r="B531" s="248" t="s">
        <v>216</v>
      </c>
      <c r="C531" s="222">
        <v>60164</v>
      </c>
      <c r="D531" s="227">
        <v>25896.09</v>
      </c>
      <c r="E531" s="224">
        <f t="shared" si="11"/>
        <v>43.042500498637061</v>
      </c>
    </row>
    <row r="532" spans="1:5" hidden="1">
      <c r="A532" s="369">
        <v>4300</v>
      </c>
      <c r="B532" s="248" t="s">
        <v>216</v>
      </c>
      <c r="C532" s="222">
        <v>21452</v>
      </c>
      <c r="D532" s="227">
        <v>13184</v>
      </c>
      <c r="E532" s="224">
        <f t="shared" si="11"/>
        <v>61.458139101249301</v>
      </c>
    </row>
    <row r="533" spans="1:5" hidden="1">
      <c r="A533" s="369">
        <v>4300</v>
      </c>
      <c r="B533" s="248" t="s">
        <v>216</v>
      </c>
      <c r="C533" s="222">
        <v>11369</v>
      </c>
      <c r="D533" s="227">
        <v>6381.01</v>
      </c>
      <c r="E533" s="224">
        <f t="shared" si="11"/>
        <v>56.12639634092708</v>
      </c>
    </row>
    <row r="534" spans="1:5" hidden="1">
      <c r="A534" s="369">
        <v>4300</v>
      </c>
      <c r="B534" s="248" t="s">
        <v>216</v>
      </c>
      <c r="C534" s="222">
        <v>50000</v>
      </c>
      <c r="D534" s="227">
        <v>16973.310000000001</v>
      </c>
      <c r="E534" s="224">
        <f t="shared" si="11"/>
        <v>33.946620000000003</v>
      </c>
    </row>
    <row r="535" spans="1:5" hidden="1">
      <c r="A535" s="369">
        <v>4300</v>
      </c>
      <c r="B535" s="248" t="s">
        <v>216</v>
      </c>
      <c r="C535" s="222">
        <v>26484</v>
      </c>
      <c r="D535" s="227">
        <v>14544.42</v>
      </c>
      <c r="E535" s="224">
        <f t="shared" si="11"/>
        <v>54.917761667421843</v>
      </c>
    </row>
    <row r="536" spans="1:5" hidden="1">
      <c r="A536" s="369">
        <v>4300</v>
      </c>
      <c r="B536" s="248" t="s">
        <v>216</v>
      </c>
      <c r="C536" s="222">
        <v>2580</v>
      </c>
      <c r="D536" s="227">
        <v>2580</v>
      </c>
      <c r="E536" s="224">
        <f t="shared" si="11"/>
        <v>100</v>
      </c>
    </row>
    <row r="537" spans="1:5" hidden="1">
      <c r="A537" s="369">
        <v>4300</v>
      </c>
      <c r="B537" s="248" t="s">
        <v>216</v>
      </c>
      <c r="C537" s="222">
        <v>17293</v>
      </c>
      <c r="D537" s="227">
        <v>8631</v>
      </c>
      <c r="E537" s="224">
        <f t="shared" si="11"/>
        <v>49.910368357138729</v>
      </c>
    </row>
    <row r="538" spans="1:5" hidden="1">
      <c r="A538" s="369">
        <v>4300</v>
      </c>
      <c r="B538" s="248" t="s">
        <v>216</v>
      </c>
      <c r="C538" s="222">
        <v>7887</v>
      </c>
      <c r="D538" s="227">
        <v>1310.0899999999999</v>
      </c>
      <c r="E538" s="224">
        <f t="shared" si="11"/>
        <v>16.610751870166094</v>
      </c>
    </row>
    <row r="539" spans="1:5" hidden="1">
      <c r="A539" s="369">
        <v>4300</v>
      </c>
      <c r="B539" s="248" t="s">
        <v>216</v>
      </c>
      <c r="C539" s="222">
        <v>6800</v>
      </c>
      <c r="D539" s="227">
        <v>2470.0300000000002</v>
      </c>
      <c r="E539" s="224">
        <f t="shared" si="11"/>
        <v>36.323970588235298</v>
      </c>
    </row>
    <row r="540" spans="1:5" hidden="1">
      <c r="A540" s="369">
        <v>4300</v>
      </c>
      <c r="B540" s="248" t="s">
        <v>216</v>
      </c>
      <c r="C540" s="222">
        <v>7827</v>
      </c>
      <c r="D540" s="227">
        <v>4506.99</v>
      </c>
      <c r="E540" s="224">
        <f t="shared" si="11"/>
        <v>57.582598696818707</v>
      </c>
    </row>
    <row r="541" spans="1:5" hidden="1">
      <c r="A541" s="369">
        <v>4300</v>
      </c>
      <c r="B541" s="248" t="s">
        <v>216</v>
      </c>
      <c r="C541" s="222">
        <v>5141</v>
      </c>
      <c r="D541" s="227">
        <v>4817.17</v>
      </c>
      <c r="E541" s="224">
        <f t="shared" si="11"/>
        <v>93.701030927835049</v>
      </c>
    </row>
    <row r="542" spans="1:5" hidden="1">
      <c r="A542" s="369">
        <v>4300</v>
      </c>
      <c r="B542" s="248" t="s">
        <v>216</v>
      </c>
      <c r="C542" s="222">
        <v>3411</v>
      </c>
      <c r="D542" s="227">
        <v>2513.37</v>
      </c>
      <c r="E542" s="224">
        <f t="shared" si="11"/>
        <v>73.684256816182938</v>
      </c>
    </row>
    <row r="543" spans="1:5" hidden="1">
      <c r="A543" s="233">
        <v>4300</v>
      </c>
      <c r="B543" s="248" t="s">
        <v>216</v>
      </c>
      <c r="C543" s="222">
        <v>15932</v>
      </c>
      <c r="D543" s="227">
        <v>9743.0499999999993</v>
      </c>
      <c r="E543" s="224">
        <f t="shared" si="11"/>
        <v>61.153966859151389</v>
      </c>
    </row>
    <row r="544" spans="1:5" hidden="1">
      <c r="A544" s="233">
        <v>4300</v>
      </c>
      <c r="B544" s="248" t="s">
        <v>216</v>
      </c>
      <c r="C544" s="222">
        <v>127909</v>
      </c>
      <c r="D544" s="227">
        <v>82849.14</v>
      </c>
      <c r="E544" s="224">
        <f t="shared" si="11"/>
        <v>64.771939425685446</v>
      </c>
    </row>
    <row r="545" spans="1:5" hidden="1">
      <c r="A545" s="233">
        <v>4300</v>
      </c>
      <c r="B545" s="248" t="s">
        <v>216</v>
      </c>
      <c r="C545" s="222">
        <v>1000</v>
      </c>
      <c r="D545" s="229">
        <v>0</v>
      </c>
      <c r="E545" s="224">
        <f t="shared" si="11"/>
        <v>0</v>
      </c>
    </row>
    <row r="546" spans="1:5" hidden="1">
      <c r="A546" s="233">
        <v>4300</v>
      </c>
      <c r="B546" s="248" t="s">
        <v>216</v>
      </c>
      <c r="C546" s="222">
        <v>3072</v>
      </c>
      <c r="D546" s="229">
        <v>0</v>
      </c>
      <c r="E546" s="224">
        <f t="shared" si="11"/>
        <v>0</v>
      </c>
    </row>
    <row r="547" spans="1:5" hidden="1">
      <c r="A547" s="233">
        <v>4300</v>
      </c>
      <c r="B547" s="248" t="s">
        <v>216</v>
      </c>
      <c r="C547" s="222">
        <v>1551</v>
      </c>
      <c r="D547" s="227">
        <v>350</v>
      </c>
      <c r="E547" s="224">
        <f t="shared" si="11"/>
        <v>22.566086395873629</v>
      </c>
    </row>
    <row r="548" spans="1:5" hidden="1">
      <c r="A548" s="383">
        <v>4300</v>
      </c>
      <c r="B548" s="248" t="s">
        <v>216</v>
      </c>
      <c r="C548" s="222">
        <v>7000</v>
      </c>
      <c r="D548" s="227">
        <v>0</v>
      </c>
      <c r="E548" s="224">
        <f t="shared" si="11"/>
        <v>0</v>
      </c>
    </row>
    <row r="549" spans="1:5" hidden="1">
      <c r="A549" s="233">
        <v>4300</v>
      </c>
      <c r="B549" s="248" t="s">
        <v>216</v>
      </c>
      <c r="C549" s="222">
        <v>2000</v>
      </c>
      <c r="D549" s="227">
        <v>0</v>
      </c>
      <c r="E549" s="224">
        <f t="shared" si="11"/>
        <v>0</v>
      </c>
    </row>
    <row r="550" spans="1:5" hidden="1">
      <c r="A550" s="233">
        <v>4308</v>
      </c>
      <c r="B550" s="221" t="s">
        <v>216</v>
      </c>
      <c r="C550" s="222">
        <v>9474</v>
      </c>
      <c r="D550" s="227">
        <v>9473.51</v>
      </c>
      <c r="E550" s="224">
        <f t="shared" si="11"/>
        <v>99.994827950179442</v>
      </c>
    </row>
    <row r="551" spans="1:5" hidden="1">
      <c r="A551" s="233">
        <v>4308</v>
      </c>
      <c r="B551" s="248" t="s">
        <v>216</v>
      </c>
      <c r="C551" s="222">
        <v>33387</v>
      </c>
      <c r="D551" s="227">
        <v>6497.47</v>
      </c>
      <c r="E551" s="224">
        <f t="shared" si="11"/>
        <v>19.461077664959415</v>
      </c>
    </row>
    <row r="552" spans="1:5" hidden="1">
      <c r="A552" s="233">
        <v>4309</v>
      </c>
      <c r="B552" s="221" t="s">
        <v>216</v>
      </c>
      <c r="C552" s="222">
        <v>3158</v>
      </c>
      <c r="D552" s="227">
        <v>3157.83</v>
      </c>
      <c r="E552" s="224">
        <f t="shared" si="11"/>
        <v>99.994616846105131</v>
      </c>
    </row>
    <row r="553" spans="1:5" hidden="1">
      <c r="A553" s="233">
        <v>4309</v>
      </c>
      <c r="B553" s="248" t="s">
        <v>216</v>
      </c>
      <c r="C553" s="222">
        <v>1985</v>
      </c>
      <c r="D553" s="227">
        <v>382.53</v>
      </c>
      <c r="E553" s="224">
        <f t="shared" si="11"/>
        <v>19.271032745591938</v>
      </c>
    </row>
    <row r="554" spans="1:5" hidden="1">
      <c r="A554" s="233">
        <v>4350</v>
      </c>
      <c r="B554" s="221" t="s">
        <v>231</v>
      </c>
      <c r="C554" s="222">
        <v>1100</v>
      </c>
      <c r="D554" s="227">
        <v>605.1</v>
      </c>
      <c r="E554" s="224">
        <f t="shared" si="11"/>
        <v>55.009090909090908</v>
      </c>
    </row>
    <row r="555" spans="1:5" hidden="1">
      <c r="A555" s="233">
        <v>4350</v>
      </c>
      <c r="B555" s="221" t="s">
        <v>231</v>
      </c>
      <c r="C555" s="222">
        <v>840</v>
      </c>
      <c r="D555" s="227">
        <v>389.4</v>
      </c>
      <c r="E555" s="224">
        <f t="shared" si="11"/>
        <v>46.357142857142854</v>
      </c>
    </row>
    <row r="556" spans="1:5" hidden="1">
      <c r="A556" s="233">
        <v>4350</v>
      </c>
      <c r="B556" s="221" t="s">
        <v>231</v>
      </c>
      <c r="C556" s="222">
        <v>14000</v>
      </c>
      <c r="D556" s="227">
        <v>2565.66</v>
      </c>
      <c r="E556" s="224">
        <f t="shared" si="11"/>
        <v>18.326142857142859</v>
      </c>
    </row>
    <row r="557" spans="1:5" hidden="1">
      <c r="A557" s="233">
        <v>4350</v>
      </c>
      <c r="B557" s="221" t="s">
        <v>231</v>
      </c>
      <c r="C557" s="222">
        <v>1449</v>
      </c>
      <c r="D557" s="227">
        <v>724.68</v>
      </c>
      <c r="E557" s="224">
        <f t="shared" si="11"/>
        <v>50.012422360248451</v>
      </c>
    </row>
    <row r="558" spans="1:5" hidden="1">
      <c r="A558" s="369">
        <v>4350</v>
      </c>
      <c r="B558" s="221" t="s">
        <v>231</v>
      </c>
      <c r="C558" s="222">
        <v>708</v>
      </c>
      <c r="D558" s="227">
        <v>7.32</v>
      </c>
      <c r="E558" s="224">
        <f t="shared" si="11"/>
        <v>1.0338983050847457</v>
      </c>
    </row>
    <row r="559" spans="1:5" hidden="1">
      <c r="A559" s="378">
        <v>4350</v>
      </c>
      <c r="B559" s="221" t="s">
        <v>231</v>
      </c>
      <c r="C559" s="222">
        <v>300</v>
      </c>
      <c r="D559" s="227">
        <v>0</v>
      </c>
      <c r="E559" s="224">
        <f t="shared" si="11"/>
        <v>0</v>
      </c>
    </row>
    <row r="560" spans="1:5" hidden="1">
      <c r="A560" s="378">
        <v>4350</v>
      </c>
      <c r="B560" s="221" t="s">
        <v>231</v>
      </c>
      <c r="C560" s="222">
        <v>1456</v>
      </c>
      <c r="D560" s="227">
        <v>578.04999999999995</v>
      </c>
      <c r="E560" s="224">
        <f t="shared" si="11"/>
        <v>39.701236263736256</v>
      </c>
    </row>
    <row r="561" spans="1:5" hidden="1">
      <c r="A561" s="378">
        <v>4350</v>
      </c>
      <c r="B561" s="221" t="s">
        <v>231</v>
      </c>
      <c r="C561" s="222">
        <v>720</v>
      </c>
      <c r="D561" s="227">
        <v>360</v>
      </c>
      <c r="E561" s="224">
        <f t="shared" si="11"/>
        <v>50</v>
      </c>
    </row>
    <row r="562" spans="1:5" hidden="1">
      <c r="A562" s="378">
        <v>4350</v>
      </c>
      <c r="B562" s="221" t="s">
        <v>231</v>
      </c>
      <c r="C562" s="222">
        <v>65</v>
      </c>
      <c r="D562" s="227">
        <v>15.66</v>
      </c>
      <c r="E562" s="224">
        <f t="shared" si="11"/>
        <v>24.092307692307692</v>
      </c>
    </row>
    <row r="563" spans="1:5" hidden="1">
      <c r="A563" s="378">
        <v>4350</v>
      </c>
      <c r="B563" s="384" t="s">
        <v>231</v>
      </c>
      <c r="C563" s="222">
        <v>88</v>
      </c>
      <c r="D563" s="227">
        <v>21.3</v>
      </c>
      <c r="E563" s="224">
        <f t="shared" si="11"/>
        <v>24.204545454545453</v>
      </c>
    </row>
    <row r="564" spans="1:5" hidden="1">
      <c r="A564" s="378">
        <v>4350</v>
      </c>
      <c r="B564" s="221" t="s">
        <v>231</v>
      </c>
      <c r="C564" s="222">
        <v>240</v>
      </c>
      <c r="D564" s="227">
        <v>120</v>
      </c>
      <c r="E564" s="224">
        <f t="shared" si="11"/>
        <v>50</v>
      </c>
    </row>
    <row r="565" spans="1:5" hidden="1">
      <c r="A565" s="378">
        <v>4350</v>
      </c>
      <c r="B565" s="221" t="s">
        <v>231</v>
      </c>
      <c r="C565" s="222">
        <v>984</v>
      </c>
      <c r="D565" s="227">
        <v>237.54</v>
      </c>
      <c r="E565" s="224">
        <f t="shared" si="11"/>
        <v>24.140243902439025</v>
      </c>
    </row>
    <row r="566" spans="1:5" hidden="1">
      <c r="A566" s="378">
        <v>4350</v>
      </c>
      <c r="B566" s="221" t="s">
        <v>231</v>
      </c>
      <c r="C566" s="222">
        <v>785</v>
      </c>
      <c r="D566" s="227">
        <v>690.6</v>
      </c>
      <c r="E566" s="224">
        <f t="shared" si="11"/>
        <v>87.974522292993626</v>
      </c>
    </row>
    <row r="567" spans="1:5" hidden="1">
      <c r="A567" s="378">
        <v>4350</v>
      </c>
      <c r="B567" s="384" t="s">
        <v>231</v>
      </c>
      <c r="C567" s="222">
        <v>240</v>
      </c>
      <c r="D567" s="227">
        <v>120</v>
      </c>
      <c r="E567" s="224">
        <f t="shared" si="11"/>
        <v>50</v>
      </c>
    </row>
    <row r="568" spans="1:5" hidden="1">
      <c r="A568" s="378">
        <v>4350</v>
      </c>
      <c r="B568" s="221" t="s">
        <v>231</v>
      </c>
      <c r="C568" s="222">
        <v>672</v>
      </c>
      <c r="D568" s="227">
        <v>336</v>
      </c>
      <c r="E568" s="224">
        <f t="shared" si="11"/>
        <v>50</v>
      </c>
    </row>
    <row r="569" spans="1:5" hidden="1">
      <c r="A569" s="378">
        <v>4350</v>
      </c>
      <c r="B569" s="384" t="s">
        <v>231</v>
      </c>
      <c r="C569" s="222">
        <v>1600</v>
      </c>
      <c r="D569" s="227">
        <v>1229.76</v>
      </c>
      <c r="E569" s="224">
        <f t="shared" si="11"/>
        <v>76.86</v>
      </c>
    </row>
    <row r="570" spans="1:5" hidden="1">
      <c r="A570" s="378">
        <v>4350</v>
      </c>
      <c r="B570" s="221" t="s">
        <v>231</v>
      </c>
      <c r="C570" s="222">
        <v>2825</v>
      </c>
      <c r="D570" s="227">
        <v>1134.5</v>
      </c>
      <c r="E570" s="224">
        <f t="shared" si="11"/>
        <v>40.159292035398231</v>
      </c>
    </row>
    <row r="571" spans="1:5" hidden="1">
      <c r="A571" s="378">
        <v>4350</v>
      </c>
      <c r="B571" s="221" t="s">
        <v>231</v>
      </c>
      <c r="C571" s="222">
        <v>735</v>
      </c>
      <c r="D571" s="227">
        <v>224.04</v>
      </c>
      <c r="E571" s="224">
        <f t="shared" si="11"/>
        <v>30.481632653061226</v>
      </c>
    </row>
    <row r="572" spans="1:5" hidden="1">
      <c r="A572" s="378">
        <v>4350</v>
      </c>
      <c r="B572" s="384" t="s">
        <v>231</v>
      </c>
      <c r="C572" s="222">
        <v>1482</v>
      </c>
      <c r="D572" s="227">
        <v>712.38</v>
      </c>
      <c r="E572" s="224">
        <f t="shared" si="11"/>
        <v>48.068825910931174</v>
      </c>
    </row>
    <row r="573" spans="1:5" hidden="1">
      <c r="A573" s="378">
        <v>4350</v>
      </c>
      <c r="B573" s="280" t="s">
        <v>231</v>
      </c>
      <c r="C573" s="222">
        <v>2200</v>
      </c>
      <c r="D573" s="227">
        <v>1054.51</v>
      </c>
      <c r="E573" s="224">
        <f t="shared" si="11"/>
        <v>47.932272727272725</v>
      </c>
    </row>
    <row r="574" spans="1:5" hidden="1">
      <c r="A574" s="378">
        <v>4360</v>
      </c>
      <c r="B574" s="221" t="s">
        <v>232</v>
      </c>
      <c r="C574" s="222">
        <v>5500</v>
      </c>
      <c r="D574" s="227">
        <v>2216.6799999999998</v>
      </c>
      <c r="E574" s="224">
        <f t="shared" si="11"/>
        <v>40.30327272727272</v>
      </c>
    </row>
    <row r="575" spans="1:5" hidden="1">
      <c r="A575" s="378">
        <v>4360</v>
      </c>
      <c r="B575" s="384" t="s">
        <v>232</v>
      </c>
      <c r="C575" s="222">
        <v>26000</v>
      </c>
      <c r="D575" s="227">
        <v>13283.22</v>
      </c>
      <c r="E575" s="224">
        <f t="shared" si="11"/>
        <v>51.089307692307692</v>
      </c>
    </row>
    <row r="576" spans="1:5" hidden="1">
      <c r="A576" s="378">
        <v>4360</v>
      </c>
      <c r="B576" s="331" t="s">
        <v>232</v>
      </c>
      <c r="C576" s="260">
        <v>4300</v>
      </c>
      <c r="D576" s="261">
        <v>1982.7</v>
      </c>
      <c r="E576" s="224">
        <f t="shared" si="11"/>
        <v>46.109302325581396</v>
      </c>
    </row>
    <row r="577" spans="1:5" hidden="1">
      <c r="A577" s="369">
        <v>4360</v>
      </c>
      <c r="B577" s="221" t="s">
        <v>232</v>
      </c>
      <c r="C577" s="222">
        <v>798</v>
      </c>
      <c r="D577" s="227">
        <v>220.25</v>
      </c>
      <c r="E577" s="224">
        <f t="shared" si="11"/>
        <v>27.600250626566417</v>
      </c>
    </row>
    <row r="578" spans="1:5" hidden="1">
      <c r="A578" s="369">
        <v>4360</v>
      </c>
      <c r="B578" s="221" t="s">
        <v>232</v>
      </c>
      <c r="C578" s="277">
        <v>430</v>
      </c>
      <c r="D578" s="278">
        <v>217.09</v>
      </c>
      <c r="E578" s="224">
        <f t="shared" si="11"/>
        <v>50.486046511627904</v>
      </c>
    </row>
    <row r="579" spans="1:5" hidden="1">
      <c r="A579" s="369">
        <v>4360</v>
      </c>
      <c r="B579" s="221" t="s">
        <v>232</v>
      </c>
      <c r="C579" s="277">
        <v>585</v>
      </c>
      <c r="D579" s="278">
        <v>267.91000000000003</v>
      </c>
      <c r="E579" s="224">
        <f t="shared" si="11"/>
        <v>45.796581196581201</v>
      </c>
    </row>
    <row r="580" spans="1:5" hidden="1">
      <c r="A580" s="369">
        <v>4360</v>
      </c>
      <c r="B580" s="221" t="s">
        <v>232</v>
      </c>
      <c r="C580" s="277">
        <v>6520</v>
      </c>
      <c r="D580" s="278">
        <v>2987.39</v>
      </c>
      <c r="E580" s="224">
        <f t="shared" si="11"/>
        <v>45.81886503067485</v>
      </c>
    </row>
    <row r="581" spans="1:5" hidden="1">
      <c r="A581" s="369">
        <v>4360</v>
      </c>
      <c r="B581" s="221" t="s">
        <v>232</v>
      </c>
      <c r="C581" s="277">
        <v>417</v>
      </c>
      <c r="D581" s="278">
        <v>289.87</v>
      </c>
      <c r="E581" s="224">
        <f t="shared" si="11"/>
        <v>69.513189448441253</v>
      </c>
    </row>
    <row r="582" spans="1:5" hidden="1">
      <c r="A582" s="369">
        <v>4360</v>
      </c>
      <c r="B582" s="221" t="s">
        <v>232</v>
      </c>
      <c r="C582" s="277">
        <v>3200</v>
      </c>
      <c r="D582" s="278">
        <v>150</v>
      </c>
      <c r="E582" s="224">
        <f t="shared" si="11"/>
        <v>4.6875</v>
      </c>
    </row>
    <row r="583" spans="1:5" hidden="1">
      <c r="A583" s="369">
        <v>4360</v>
      </c>
      <c r="B583" s="221" t="s">
        <v>232</v>
      </c>
      <c r="C583" s="277">
        <v>2400</v>
      </c>
      <c r="D583" s="278">
        <v>1184.45</v>
      </c>
      <c r="E583" s="224">
        <f t="shared" si="11"/>
        <v>49.352083333333333</v>
      </c>
    </row>
    <row r="584" spans="1:5" hidden="1">
      <c r="A584" s="369">
        <v>4360</v>
      </c>
      <c r="B584" s="221" t="s">
        <v>232</v>
      </c>
      <c r="C584" s="277">
        <v>2400</v>
      </c>
      <c r="D584" s="278">
        <v>1479.42</v>
      </c>
      <c r="E584" s="224">
        <f t="shared" si="11"/>
        <v>61.642499999999998</v>
      </c>
    </row>
    <row r="585" spans="1:5" hidden="1">
      <c r="A585" s="369">
        <v>4360</v>
      </c>
      <c r="B585" s="221" t="s">
        <v>232</v>
      </c>
      <c r="C585" s="222">
        <v>2456</v>
      </c>
      <c r="D585" s="227">
        <v>1045.33</v>
      </c>
      <c r="E585" s="224">
        <f t="shared" ref="E585:E648" si="12">D585*100/C585</f>
        <v>42.562296416938111</v>
      </c>
    </row>
    <row r="586" spans="1:5" hidden="1">
      <c r="A586" s="371">
        <v>4360</v>
      </c>
      <c r="B586" s="332" t="s">
        <v>232</v>
      </c>
      <c r="C586" s="277">
        <v>1228</v>
      </c>
      <c r="D586" s="278">
        <v>163.83000000000001</v>
      </c>
      <c r="E586" s="224">
        <f t="shared" si="12"/>
        <v>13.341205211726386</v>
      </c>
    </row>
    <row r="587" spans="1:5" hidden="1">
      <c r="A587" s="371">
        <v>4360</v>
      </c>
      <c r="B587" s="332" t="s">
        <v>232</v>
      </c>
      <c r="C587" s="277">
        <v>1125</v>
      </c>
      <c r="D587" s="278">
        <v>329.59</v>
      </c>
      <c r="E587" s="224">
        <f t="shared" si="12"/>
        <v>29.296888888888891</v>
      </c>
    </row>
    <row r="588" spans="1:5" hidden="1">
      <c r="A588" s="371">
        <v>4370</v>
      </c>
      <c r="B588" s="221" t="s">
        <v>233</v>
      </c>
      <c r="C588" s="277">
        <v>5500</v>
      </c>
      <c r="D588" s="278">
        <v>2107.5700000000002</v>
      </c>
      <c r="E588" s="224">
        <f t="shared" si="12"/>
        <v>38.319454545454548</v>
      </c>
    </row>
    <row r="589" spans="1:5" hidden="1">
      <c r="A589" s="369">
        <v>4370</v>
      </c>
      <c r="B589" s="221" t="s">
        <v>233</v>
      </c>
      <c r="C589" s="222">
        <v>2400</v>
      </c>
      <c r="D589" s="227">
        <v>980.59</v>
      </c>
      <c r="E589" s="224">
        <f t="shared" si="12"/>
        <v>40.857916666666668</v>
      </c>
    </row>
    <row r="590" spans="1:5" hidden="1">
      <c r="A590" s="369">
        <v>4370</v>
      </c>
      <c r="B590" s="221" t="s">
        <v>233</v>
      </c>
      <c r="C590" s="222">
        <v>24000</v>
      </c>
      <c r="D590" s="227">
        <v>11584.4</v>
      </c>
      <c r="E590" s="224">
        <f t="shared" si="12"/>
        <v>48.268333333333331</v>
      </c>
    </row>
    <row r="591" spans="1:5" hidden="1">
      <c r="A591" s="369">
        <v>4370</v>
      </c>
      <c r="B591" s="221" t="s">
        <v>233</v>
      </c>
      <c r="C591" s="222">
        <v>5400</v>
      </c>
      <c r="D591" s="227">
        <v>2428.89</v>
      </c>
      <c r="E591" s="224">
        <f t="shared" si="12"/>
        <v>44.979444444444447</v>
      </c>
    </row>
    <row r="592" spans="1:5" hidden="1">
      <c r="A592" s="369">
        <v>4370</v>
      </c>
      <c r="B592" s="221" t="s">
        <v>233</v>
      </c>
      <c r="C592" s="222">
        <v>4400</v>
      </c>
      <c r="D592" s="227">
        <v>2280.61</v>
      </c>
      <c r="E592" s="224">
        <f t="shared" si="12"/>
        <v>51.832045454545458</v>
      </c>
    </row>
    <row r="593" spans="1:5" hidden="1">
      <c r="A593" s="369">
        <v>4370</v>
      </c>
      <c r="B593" s="221" t="s">
        <v>233</v>
      </c>
      <c r="C593" s="222">
        <v>5973</v>
      </c>
      <c r="D593" s="227">
        <v>2303.86</v>
      </c>
      <c r="E593" s="224">
        <f t="shared" si="12"/>
        <v>38.571237234220661</v>
      </c>
    </row>
    <row r="594" spans="1:5" hidden="1">
      <c r="A594" s="369">
        <v>4370</v>
      </c>
      <c r="B594" s="221" t="s">
        <v>233</v>
      </c>
      <c r="C594" s="222">
        <v>2210</v>
      </c>
      <c r="D594" s="227">
        <v>534</v>
      </c>
      <c r="E594" s="224">
        <f t="shared" si="12"/>
        <v>24.162895927601809</v>
      </c>
    </row>
    <row r="595" spans="1:5" hidden="1">
      <c r="A595" s="369">
        <v>4370</v>
      </c>
      <c r="B595" s="221" t="s">
        <v>233</v>
      </c>
      <c r="C595" s="222">
        <v>1080</v>
      </c>
      <c r="D595" s="227">
        <v>410.19</v>
      </c>
      <c r="E595" s="224">
        <f t="shared" si="12"/>
        <v>37.980555555555554</v>
      </c>
    </row>
    <row r="596" spans="1:5" hidden="1">
      <c r="A596" s="369">
        <v>4370</v>
      </c>
      <c r="B596" s="221" t="s">
        <v>233</v>
      </c>
      <c r="C596" s="222">
        <v>561</v>
      </c>
      <c r="D596" s="227">
        <v>194.46</v>
      </c>
      <c r="E596" s="224">
        <f t="shared" si="12"/>
        <v>34.663101604278076</v>
      </c>
    </row>
    <row r="597" spans="1:5" hidden="1">
      <c r="A597" s="369">
        <v>4370</v>
      </c>
      <c r="B597" s="221" t="s">
        <v>233</v>
      </c>
      <c r="C597" s="222">
        <v>762</v>
      </c>
      <c r="D597" s="227">
        <v>264.3</v>
      </c>
      <c r="E597" s="224">
        <f t="shared" si="12"/>
        <v>34.685039370078741</v>
      </c>
    </row>
    <row r="598" spans="1:5" hidden="1">
      <c r="A598" s="369">
        <v>4370</v>
      </c>
      <c r="B598" s="221" t="s">
        <v>233</v>
      </c>
      <c r="C598" s="222">
        <v>360</v>
      </c>
      <c r="D598" s="227">
        <v>136.38</v>
      </c>
      <c r="E598" s="224">
        <f t="shared" si="12"/>
        <v>37.883333333333333</v>
      </c>
    </row>
    <row r="599" spans="1:5" hidden="1">
      <c r="A599" s="369">
        <v>4370</v>
      </c>
      <c r="B599" s="221" t="s">
        <v>233</v>
      </c>
      <c r="C599" s="222">
        <v>6498</v>
      </c>
      <c r="D599" s="227">
        <v>2884.53</v>
      </c>
      <c r="E599" s="224">
        <f t="shared" si="12"/>
        <v>44.391043397968609</v>
      </c>
    </row>
    <row r="600" spans="1:5" hidden="1">
      <c r="A600" s="369">
        <v>4370</v>
      </c>
      <c r="B600" s="221" t="s">
        <v>233</v>
      </c>
      <c r="C600" s="222">
        <v>2148</v>
      </c>
      <c r="D600" s="227">
        <v>588.89</v>
      </c>
      <c r="E600" s="224">
        <f t="shared" si="12"/>
        <v>27.415735567970206</v>
      </c>
    </row>
    <row r="601" spans="1:5" hidden="1">
      <c r="A601" s="369">
        <v>4370</v>
      </c>
      <c r="B601" s="221" t="s">
        <v>233</v>
      </c>
      <c r="C601" s="222">
        <v>360</v>
      </c>
      <c r="D601" s="227">
        <v>136.37</v>
      </c>
      <c r="E601" s="224">
        <f t="shared" si="12"/>
        <v>37.880555555555553</v>
      </c>
    </row>
    <row r="602" spans="1:5" hidden="1">
      <c r="A602" s="369">
        <v>4370</v>
      </c>
      <c r="B602" s="221" t="s">
        <v>233</v>
      </c>
      <c r="C602" s="222">
        <v>2000</v>
      </c>
      <c r="D602" s="227">
        <v>599.26</v>
      </c>
      <c r="E602" s="224">
        <f t="shared" si="12"/>
        <v>29.963000000000001</v>
      </c>
    </row>
    <row r="603" spans="1:5" hidden="1">
      <c r="A603" s="369">
        <v>4370</v>
      </c>
      <c r="B603" s="221" t="s">
        <v>233</v>
      </c>
      <c r="C603" s="222">
        <v>12000</v>
      </c>
      <c r="D603" s="227">
        <v>3044.07</v>
      </c>
      <c r="E603" s="224">
        <f t="shared" si="12"/>
        <v>25.367249999999999</v>
      </c>
    </row>
    <row r="604" spans="1:5" hidden="1">
      <c r="A604" s="369">
        <v>4370</v>
      </c>
      <c r="B604" s="221" t="s">
        <v>233</v>
      </c>
      <c r="C604" s="222">
        <v>3300</v>
      </c>
      <c r="D604" s="227">
        <v>1650</v>
      </c>
      <c r="E604" s="224">
        <f t="shared" si="12"/>
        <v>50</v>
      </c>
    </row>
    <row r="605" spans="1:5" hidden="1">
      <c r="A605" s="369">
        <v>4370</v>
      </c>
      <c r="B605" s="221" t="s">
        <v>233</v>
      </c>
      <c r="C605" s="222">
        <v>4800</v>
      </c>
      <c r="D605" s="227">
        <v>1658.26</v>
      </c>
      <c r="E605" s="224">
        <f t="shared" si="12"/>
        <v>34.547083333333333</v>
      </c>
    </row>
    <row r="606" spans="1:5" hidden="1">
      <c r="A606" s="361">
        <v>4370</v>
      </c>
      <c r="B606" s="221" t="s">
        <v>233</v>
      </c>
      <c r="C606" s="222">
        <v>3600</v>
      </c>
      <c r="D606" s="227">
        <v>233.22</v>
      </c>
      <c r="E606" s="224">
        <f t="shared" si="12"/>
        <v>6.4783333333333335</v>
      </c>
    </row>
    <row r="607" spans="1:5" hidden="1">
      <c r="A607" s="369">
        <v>4370</v>
      </c>
      <c r="B607" s="221" t="s">
        <v>233</v>
      </c>
      <c r="C607" s="222">
        <v>6600</v>
      </c>
      <c r="D607" s="227">
        <v>2561.94</v>
      </c>
      <c r="E607" s="224">
        <f t="shared" si="12"/>
        <v>38.81727272727273</v>
      </c>
    </row>
    <row r="608" spans="1:5" hidden="1">
      <c r="A608" s="369">
        <v>4370</v>
      </c>
      <c r="B608" s="221" t="s">
        <v>233</v>
      </c>
      <c r="C608" s="222">
        <v>4910</v>
      </c>
      <c r="D608" s="227">
        <v>618.4</v>
      </c>
      <c r="E608" s="224">
        <f t="shared" si="12"/>
        <v>12.594704684317719</v>
      </c>
    </row>
    <row r="609" spans="1:5" hidden="1">
      <c r="A609" s="369">
        <v>4370</v>
      </c>
      <c r="B609" s="221" t="s">
        <v>233</v>
      </c>
      <c r="C609" s="222">
        <v>2400</v>
      </c>
      <c r="D609" s="227">
        <v>850.37</v>
      </c>
      <c r="E609" s="224">
        <f t="shared" si="12"/>
        <v>35.432083333333331</v>
      </c>
    </row>
    <row r="610" spans="1:5" hidden="1">
      <c r="A610" s="369">
        <v>4370</v>
      </c>
      <c r="B610" s="221" t="s">
        <v>233</v>
      </c>
      <c r="C610" s="222">
        <v>2864</v>
      </c>
      <c r="D610" s="227">
        <v>1297.9100000000001</v>
      </c>
      <c r="E610" s="224">
        <f t="shared" si="12"/>
        <v>45.318086592178773</v>
      </c>
    </row>
    <row r="611" spans="1:5" hidden="1">
      <c r="A611" s="369">
        <v>4370</v>
      </c>
      <c r="B611" s="221" t="s">
        <v>233</v>
      </c>
      <c r="C611" s="222">
        <v>1228</v>
      </c>
      <c r="D611" s="227">
        <v>597.16</v>
      </c>
      <c r="E611" s="224">
        <f t="shared" si="12"/>
        <v>48.628664495114009</v>
      </c>
    </row>
    <row r="612" spans="1:5" hidden="1">
      <c r="A612" s="369">
        <v>4370</v>
      </c>
      <c r="B612" s="221" t="s">
        <v>233</v>
      </c>
      <c r="C612" s="222">
        <v>1023</v>
      </c>
      <c r="D612" s="227">
        <v>189.58</v>
      </c>
      <c r="E612" s="224">
        <f t="shared" si="12"/>
        <v>18.531769305962854</v>
      </c>
    </row>
    <row r="613" spans="1:5" hidden="1">
      <c r="A613" s="369">
        <v>4370</v>
      </c>
      <c r="B613" s="221" t="s">
        <v>233</v>
      </c>
      <c r="C613" s="222">
        <v>6000</v>
      </c>
      <c r="D613" s="227">
        <v>2318.46</v>
      </c>
      <c r="E613" s="224">
        <f t="shared" si="12"/>
        <v>38.640999999999998</v>
      </c>
    </row>
    <row r="614" spans="1:5" hidden="1">
      <c r="A614" s="369">
        <v>4380</v>
      </c>
      <c r="B614" s="221" t="s">
        <v>252</v>
      </c>
      <c r="C614" s="222">
        <v>3000</v>
      </c>
      <c r="D614" s="227">
        <v>1000.4</v>
      </c>
      <c r="E614" s="224">
        <f t="shared" si="12"/>
        <v>33.346666666666664</v>
      </c>
    </row>
    <row r="615" spans="1:5" hidden="1">
      <c r="A615" s="369">
        <v>4390</v>
      </c>
      <c r="B615" s="221" t="s">
        <v>337</v>
      </c>
      <c r="C615" s="222">
        <v>1220</v>
      </c>
      <c r="D615" s="227">
        <v>1220</v>
      </c>
      <c r="E615" s="224">
        <f t="shared" si="12"/>
        <v>100</v>
      </c>
    </row>
    <row r="616" spans="1:5" hidden="1">
      <c r="A616" s="369">
        <v>4400</v>
      </c>
      <c r="B616" s="221" t="s">
        <v>249</v>
      </c>
      <c r="C616" s="222">
        <v>8400</v>
      </c>
      <c r="D616" s="227">
        <v>3077.97</v>
      </c>
      <c r="E616" s="224">
        <f t="shared" si="12"/>
        <v>36.642499999999998</v>
      </c>
    </row>
    <row r="617" spans="1:5" ht="22.5" hidden="1">
      <c r="A617" s="369">
        <v>4400</v>
      </c>
      <c r="B617" s="230" t="s">
        <v>249</v>
      </c>
      <c r="C617" s="222">
        <v>1200</v>
      </c>
      <c r="D617" s="227">
        <v>600</v>
      </c>
      <c r="E617" s="224">
        <f t="shared" si="12"/>
        <v>50</v>
      </c>
    </row>
    <row r="618" spans="1:5" ht="22.5" hidden="1">
      <c r="A618" s="369">
        <v>4400</v>
      </c>
      <c r="B618" s="230" t="s">
        <v>249</v>
      </c>
      <c r="C618" s="222">
        <v>11000</v>
      </c>
      <c r="D618" s="227">
        <v>4438.26</v>
      </c>
      <c r="E618" s="224">
        <f t="shared" si="12"/>
        <v>40.347818181818184</v>
      </c>
    </row>
    <row r="619" spans="1:5" ht="22.5" hidden="1">
      <c r="A619" s="369">
        <v>4400</v>
      </c>
      <c r="B619" s="230" t="s">
        <v>249</v>
      </c>
      <c r="C619" s="222">
        <v>2100</v>
      </c>
      <c r="D619" s="227">
        <v>2100</v>
      </c>
      <c r="E619" s="224">
        <f t="shared" si="12"/>
        <v>100</v>
      </c>
    </row>
    <row r="620" spans="1:5" hidden="1">
      <c r="A620" s="369">
        <v>4410</v>
      </c>
      <c r="B620" s="221" t="s">
        <v>234</v>
      </c>
      <c r="C620" s="222">
        <v>400</v>
      </c>
      <c r="D620" s="227">
        <v>51.3</v>
      </c>
      <c r="E620" s="224">
        <f t="shared" si="12"/>
        <v>12.824999999999999</v>
      </c>
    </row>
    <row r="621" spans="1:5" hidden="1">
      <c r="A621" s="369">
        <v>4410</v>
      </c>
      <c r="B621" s="221" t="s">
        <v>234</v>
      </c>
      <c r="C621" s="222">
        <v>2700</v>
      </c>
      <c r="D621" s="227">
        <v>746.55</v>
      </c>
      <c r="E621" s="224">
        <f t="shared" si="12"/>
        <v>27.65</v>
      </c>
    </row>
    <row r="622" spans="1:5" hidden="1">
      <c r="A622" s="369">
        <v>4410</v>
      </c>
      <c r="B622" s="221" t="s">
        <v>234</v>
      </c>
      <c r="C622" s="222">
        <v>2000</v>
      </c>
      <c r="D622" s="227">
        <v>1168.77</v>
      </c>
      <c r="E622" s="224">
        <f t="shared" si="12"/>
        <v>58.438499999999998</v>
      </c>
    </row>
    <row r="623" spans="1:5" hidden="1">
      <c r="A623" s="369">
        <v>4410</v>
      </c>
      <c r="B623" s="221" t="s">
        <v>234</v>
      </c>
      <c r="C623" s="222">
        <v>47348</v>
      </c>
      <c r="D623" s="227">
        <v>26220.560000000001</v>
      </c>
      <c r="E623" s="224">
        <f t="shared" si="12"/>
        <v>55.378389794711495</v>
      </c>
    </row>
    <row r="624" spans="1:5" hidden="1">
      <c r="A624" s="369">
        <v>4410</v>
      </c>
      <c r="B624" s="221" t="s">
        <v>234</v>
      </c>
      <c r="C624" s="222">
        <v>4500</v>
      </c>
      <c r="D624" s="227">
        <v>1279.55</v>
      </c>
      <c r="E624" s="224">
        <f t="shared" si="12"/>
        <v>28.434444444444445</v>
      </c>
    </row>
    <row r="625" spans="1:5" hidden="1">
      <c r="A625" s="369">
        <v>4410</v>
      </c>
      <c r="B625" s="221" t="s">
        <v>234</v>
      </c>
      <c r="C625" s="222">
        <v>1000</v>
      </c>
      <c r="D625" s="227">
        <v>608.04999999999995</v>
      </c>
      <c r="E625" s="224">
        <f t="shared" si="12"/>
        <v>60.804999999999993</v>
      </c>
    </row>
    <row r="626" spans="1:5" hidden="1">
      <c r="A626" s="369">
        <v>4410</v>
      </c>
      <c r="B626" s="221" t="s">
        <v>234</v>
      </c>
      <c r="C626" s="222">
        <v>1500</v>
      </c>
      <c r="D626" s="227">
        <v>977.93</v>
      </c>
      <c r="E626" s="224">
        <f t="shared" si="12"/>
        <v>65.195333333333338</v>
      </c>
    </row>
    <row r="627" spans="1:5" hidden="1">
      <c r="A627" s="369">
        <v>4410</v>
      </c>
      <c r="B627" s="221" t="s">
        <v>234</v>
      </c>
      <c r="C627" s="222">
        <v>1023</v>
      </c>
      <c r="D627" s="227">
        <v>785.94</v>
      </c>
      <c r="E627" s="224">
        <f t="shared" si="12"/>
        <v>76.826979472140764</v>
      </c>
    </row>
    <row r="628" spans="1:5" hidden="1">
      <c r="A628" s="369">
        <v>4410</v>
      </c>
      <c r="B628" s="221" t="s">
        <v>234</v>
      </c>
      <c r="C628" s="222">
        <v>525</v>
      </c>
      <c r="D628" s="227">
        <v>424.76</v>
      </c>
      <c r="E628" s="224">
        <f t="shared" si="12"/>
        <v>80.906666666666666</v>
      </c>
    </row>
    <row r="629" spans="1:5" hidden="1">
      <c r="A629" s="369">
        <v>4410</v>
      </c>
      <c r="B629" s="221" t="s">
        <v>234</v>
      </c>
      <c r="C629" s="222">
        <v>492</v>
      </c>
      <c r="D629" s="227">
        <v>399.81</v>
      </c>
      <c r="E629" s="224">
        <f t="shared" si="12"/>
        <v>81.262195121951223</v>
      </c>
    </row>
    <row r="630" spans="1:5" hidden="1">
      <c r="A630" s="369">
        <v>4410</v>
      </c>
      <c r="B630" s="221" t="s">
        <v>234</v>
      </c>
      <c r="C630" s="222">
        <v>668</v>
      </c>
      <c r="D630" s="227">
        <v>543.35</v>
      </c>
      <c r="E630" s="224">
        <f t="shared" si="12"/>
        <v>81.339820359281433</v>
      </c>
    </row>
    <row r="631" spans="1:5" hidden="1">
      <c r="A631" s="369">
        <v>4410</v>
      </c>
      <c r="B631" s="221" t="s">
        <v>234</v>
      </c>
      <c r="C631" s="222">
        <v>175</v>
      </c>
      <c r="D631" s="227">
        <v>141.55000000000001</v>
      </c>
      <c r="E631" s="224">
        <f t="shared" si="12"/>
        <v>80.8857142857143</v>
      </c>
    </row>
    <row r="632" spans="1:5" hidden="1">
      <c r="A632" s="369">
        <v>4410</v>
      </c>
      <c r="B632" s="248" t="s">
        <v>234</v>
      </c>
      <c r="C632" s="222">
        <v>7662</v>
      </c>
      <c r="D632" s="227">
        <v>6058.45</v>
      </c>
      <c r="E632" s="224">
        <f t="shared" si="12"/>
        <v>79.071391281649696</v>
      </c>
    </row>
    <row r="633" spans="1:5" hidden="1">
      <c r="A633" s="369">
        <v>4410</v>
      </c>
      <c r="B633" s="248" t="s">
        <v>234</v>
      </c>
      <c r="C633" s="222">
        <v>2046</v>
      </c>
      <c r="D633" s="227">
        <v>307.24</v>
      </c>
      <c r="E633" s="224">
        <f t="shared" si="12"/>
        <v>15.01661779081134</v>
      </c>
    </row>
    <row r="634" spans="1:5" hidden="1">
      <c r="A634" s="369">
        <v>4410</v>
      </c>
      <c r="B634" s="221" t="s">
        <v>234</v>
      </c>
      <c r="C634" s="222">
        <v>175</v>
      </c>
      <c r="D634" s="227">
        <v>141.55000000000001</v>
      </c>
      <c r="E634" s="224">
        <f t="shared" si="12"/>
        <v>80.8857142857143</v>
      </c>
    </row>
    <row r="635" spans="1:5" hidden="1">
      <c r="A635" s="361">
        <v>4410</v>
      </c>
      <c r="B635" s="221" t="s">
        <v>234</v>
      </c>
      <c r="C635" s="222">
        <v>2000</v>
      </c>
      <c r="D635" s="227">
        <v>1254.52</v>
      </c>
      <c r="E635" s="224">
        <f t="shared" si="12"/>
        <v>62.725999999999999</v>
      </c>
    </row>
    <row r="636" spans="1:5" hidden="1">
      <c r="A636" s="361">
        <v>4410</v>
      </c>
      <c r="B636" s="221" t="s">
        <v>234</v>
      </c>
      <c r="C636" s="222">
        <v>489</v>
      </c>
      <c r="D636" s="227">
        <v>108.72</v>
      </c>
      <c r="E636" s="224">
        <f t="shared" si="12"/>
        <v>22.233128834355828</v>
      </c>
    </row>
    <row r="637" spans="1:5" hidden="1">
      <c r="A637" s="361">
        <v>4410</v>
      </c>
      <c r="B637" s="221" t="s">
        <v>234</v>
      </c>
      <c r="C637" s="222">
        <v>756</v>
      </c>
      <c r="D637" s="227">
        <v>272.05</v>
      </c>
      <c r="E637" s="224">
        <f t="shared" si="12"/>
        <v>35.985449735449734</v>
      </c>
    </row>
    <row r="638" spans="1:5" hidden="1">
      <c r="A638" s="369">
        <v>4410</v>
      </c>
      <c r="B638" s="248" t="s">
        <v>234</v>
      </c>
      <c r="C638" s="222">
        <v>8128</v>
      </c>
      <c r="D638" s="227">
        <v>2710.6</v>
      </c>
      <c r="E638" s="224">
        <f t="shared" si="12"/>
        <v>33.348917322834644</v>
      </c>
    </row>
    <row r="639" spans="1:5" hidden="1">
      <c r="A639" s="369">
        <v>4410</v>
      </c>
      <c r="B639" s="248" t="s">
        <v>234</v>
      </c>
      <c r="C639" s="222">
        <v>1837</v>
      </c>
      <c r="D639" s="227">
        <v>424.1</v>
      </c>
      <c r="E639" s="224">
        <f t="shared" si="12"/>
        <v>23.086554164398475</v>
      </c>
    </row>
    <row r="640" spans="1:5" hidden="1">
      <c r="A640" s="369">
        <v>4410</v>
      </c>
      <c r="B640" s="248" t="s">
        <v>234</v>
      </c>
      <c r="C640" s="222">
        <v>1500</v>
      </c>
      <c r="D640" s="227">
        <v>492.9</v>
      </c>
      <c r="E640" s="224">
        <f t="shared" si="12"/>
        <v>32.86</v>
      </c>
    </row>
    <row r="641" spans="1:5" hidden="1">
      <c r="A641" s="361">
        <v>4410</v>
      </c>
      <c r="B641" s="248" t="s">
        <v>234</v>
      </c>
      <c r="C641" s="222">
        <v>3000</v>
      </c>
      <c r="D641" s="227">
        <v>1461.88</v>
      </c>
      <c r="E641" s="224">
        <f t="shared" si="12"/>
        <v>48.729333333333336</v>
      </c>
    </row>
    <row r="642" spans="1:5" hidden="1">
      <c r="A642" s="369">
        <v>4410</v>
      </c>
      <c r="B642" s="248" t="s">
        <v>234</v>
      </c>
      <c r="C642" s="222">
        <v>3100</v>
      </c>
      <c r="D642" s="227">
        <v>1303.1600000000001</v>
      </c>
      <c r="E642" s="224">
        <f t="shared" si="12"/>
        <v>42.037419354838711</v>
      </c>
    </row>
    <row r="643" spans="1:5" hidden="1">
      <c r="A643" s="369">
        <v>4410</v>
      </c>
      <c r="B643" s="248" t="s">
        <v>234</v>
      </c>
      <c r="C643" s="222">
        <v>200</v>
      </c>
      <c r="D643" s="227">
        <v>0</v>
      </c>
      <c r="E643" s="224">
        <f t="shared" si="12"/>
        <v>0</v>
      </c>
    </row>
    <row r="644" spans="1:5" hidden="1">
      <c r="A644" s="369">
        <v>4410</v>
      </c>
      <c r="B644" s="248" t="s">
        <v>234</v>
      </c>
      <c r="C644" s="222">
        <v>7161</v>
      </c>
      <c r="D644" s="227">
        <v>6273.96</v>
      </c>
      <c r="E644" s="224">
        <f t="shared" si="12"/>
        <v>87.612903225806448</v>
      </c>
    </row>
    <row r="645" spans="1:5" hidden="1">
      <c r="A645" s="369">
        <v>4410</v>
      </c>
      <c r="B645" s="248" t="s">
        <v>285</v>
      </c>
      <c r="C645" s="222">
        <v>1000</v>
      </c>
      <c r="D645" s="227">
        <v>71.48</v>
      </c>
      <c r="E645" s="224">
        <f t="shared" si="12"/>
        <v>7.1479999999999997</v>
      </c>
    </row>
    <row r="646" spans="1:5" hidden="1">
      <c r="A646" s="369">
        <v>4410</v>
      </c>
      <c r="B646" s="248" t="s">
        <v>234</v>
      </c>
      <c r="C646" s="222">
        <v>914</v>
      </c>
      <c r="D646" s="227">
        <v>136.76</v>
      </c>
      <c r="E646" s="224">
        <f t="shared" si="12"/>
        <v>14.962800875273523</v>
      </c>
    </row>
    <row r="647" spans="1:5" hidden="1">
      <c r="A647" s="370">
        <v>4410</v>
      </c>
      <c r="B647" s="281" t="s">
        <v>234</v>
      </c>
      <c r="C647" s="260">
        <v>2946</v>
      </c>
      <c r="D647" s="261">
        <v>1071.4100000000001</v>
      </c>
      <c r="E647" s="262">
        <f t="shared" si="12"/>
        <v>36.368295994568911</v>
      </c>
    </row>
    <row r="648" spans="1:5" hidden="1">
      <c r="A648" s="370">
        <v>4410</v>
      </c>
      <c r="B648" s="248" t="s">
        <v>234</v>
      </c>
      <c r="C648" s="260">
        <v>307</v>
      </c>
      <c r="D648" s="261">
        <v>70</v>
      </c>
      <c r="E648" s="262">
        <f t="shared" si="12"/>
        <v>22.801302931596091</v>
      </c>
    </row>
    <row r="649" spans="1:5" hidden="1">
      <c r="A649" s="370">
        <v>4410</v>
      </c>
      <c r="B649" s="281" t="s">
        <v>234</v>
      </c>
      <c r="C649" s="260">
        <v>2000</v>
      </c>
      <c r="D649" s="261">
        <v>46</v>
      </c>
      <c r="E649" s="262">
        <f t="shared" ref="E649:E712" si="13">D649*100/C649</f>
        <v>2.2999999999999998</v>
      </c>
    </row>
    <row r="650" spans="1:5" hidden="1">
      <c r="A650" s="369">
        <v>4410</v>
      </c>
      <c r="B650" s="248" t="s">
        <v>234</v>
      </c>
      <c r="C650" s="222">
        <v>500</v>
      </c>
      <c r="D650" s="227">
        <v>58.5</v>
      </c>
      <c r="E650" s="224">
        <f t="shared" si="13"/>
        <v>11.7</v>
      </c>
    </row>
    <row r="651" spans="1:5" hidden="1">
      <c r="A651" s="369">
        <v>4418</v>
      </c>
      <c r="B651" s="281" t="s">
        <v>285</v>
      </c>
      <c r="C651" s="222">
        <v>1724</v>
      </c>
      <c r="D651" s="227">
        <v>0</v>
      </c>
      <c r="E651" s="224">
        <f t="shared" si="13"/>
        <v>0</v>
      </c>
    </row>
    <row r="652" spans="1:5" hidden="1">
      <c r="A652" s="369">
        <v>4419</v>
      </c>
      <c r="B652" s="248" t="s">
        <v>285</v>
      </c>
      <c r="C652" s="222">
        <v>102</v>
      </c>
      <c r="D652" s="227">
        <v>0</v>
      </c>
      <c r="E652" s="224">
        <f t="shared" si="13"/>
        <v>0</v>
      </c>
    </row>
    <row r="653" spans="1:5" hidden="1">
      <c r="A653" s="361">
        <v>4420</v>
      </c>
      <c r="B653" s="221" t="s">
        <v>251</v>
      </c>
      <c r="C653" s="222">
        <v>3500</v>
      </c>
      <c r="D653" s="227">
        <v>1482.91</v>
      </c>
      <c r="E653" s="224">
        <f t="shared" si="13"/>
        <v>42.368857142857145</v>
      </c>
    </row>
    <row r="654" spans="1:5" hidden="1">
      <c r="A654" s="361">
        <v>4420</v>
      </c>
      <c r="B654" s="221" t="s">
        <v>251</v>
      </c>
      <c r="C654" s="222">
        <v>5000</v>
      </c>
      <c r="D654" s="227">
        <v>4024.72</v>
      </c>
      <c r="E654" s="224">
        <f t="shared" si="13"/>
        <v>80.494399999999999</v>
      </c>
    </row>
    <row r="655" spans="1:5" hidden="1">
      <c r="A655" s="369">
        <v>4420</v>
      </c>
      <c r="B655" s="221" t="s">
        <v>345</v>
      </c>
      <c r="C655" s="222">
        <v>408</v>
      </c>
      <c r="D655" s="227">
        <v>407.96</v>
      </c>
      <c r="E655" s="224">
        <f t="shared" si="13"/>
        <v>99.990196078431367</v>
      </c>
    </row>
    <row r="656" spans="1:5" hidden="1">
      <c r="A656" s="369">
        <v>4420</v>
      </c>
      <c r="B656" s="221" t="s">
        <v>345</v>
      </c>
      <c r="C656" s="222">
        <v>136</v>
      </c>
      <c r="D656" s="227">
        <v>135.99</v>
      </c>
      <c r="E656" s="224">
        <f t="shared" si="13"/>
        <v>99.992647058823536</v>
      </c>
    </row>
    <row r="657" spans="1:5" hidden="1">
      <c r="A657" s="369">
        <v>4420</v>
      </c>
      <c r="B657" s="221" t="s">
        <v>345</v>
      </c>
      <c r="C657" s="222">
        <v>136</v>
      </c>
      <c r="D657" s="227">
        <v>135.99</v>
      </c>
      <c r="E657" s="224">
        <f t="shared" si="13"/>
        <v>99.992647058823536</v>
      </c>
    </row>
    <row r="658" spans="1:5" hidden="1">
      <c r="A658" s="369">
        <v>4420</v>
      </c>
      <c r="B658" s="248" t="s">
        <v>251</v>
      </c>
      <c r="C658" s="222">
        <v>2000</v>
      </c>
      <c r="D658" s="227">
        <v>0</v>
      </c>
      <c r="E658" s="224">
        <f t="shared" si="13"/>
        <v>0</v>
      </c>
    </row>
    <row r="659" spans="1:5" hidden="1">
      <c r="A659" s="369">
        <v>4430</v>
      </c>
      <c r="B659" s="221" t="s">
        <v>235</v>
      </c>
      <c r="C659" s="222">
        <v>1800</v>
      </c>
      <c r="D659" s="227">
        <v>0</v>
      </c>
      <c r="E659" s="224">
        <f t="shared" si="13"/>
        <v>0</v>
      </c>
    </row>
    <row r="660" spans="1:5" hidden="1">
      <c r="A660" s="369">
        <v>4430</v>
      </c>
      <c r="B660" s="221" t="s">
        <v>235</v>
      </c>
      <c r="C660" s="222">
        <v>18000</v>
      </c>
      <c r="D660" s="227">
        <v>5818.04</v>
      </c>
      <c r="E660" s="224">
        <f t="shared" si="13"/>
        <v>32.322444444444443</v>
      </c>
    </row>
    <row r="661" spans="1:5" hidden="1">
      <c r="A661" s="361">
        <v>4430</v>
      </c>
      <c r="B661" s="221" t="s">
        <v>235</v>
      </c>
      <c r="C661" s="222">
        <v>120000</v>
      </c>
      <c r="D661" s="227">
        <v>95803.44</v>
      </c>
      <c r="E661" s="224">
        <f t="shared" si="13"/>
        <v>79.836200000000005</v>
      </c>
    </row>
    <row r="662" spans="1:5" hidden="1">
      <c r="A662" s="369">
        <v>4430</v>
      </c>
      <c r="B662" s="221" t="s">
        <v>235</v>
      </c>
      <c r="C662" s="222">
        <v>1500</v>
      </c>
      <c r="D662" s="227">
        <v>0</v>
      </c>
      <c r="E662" s="224">
        <f t="shared" si="13"/>
        <v>0</v>
      </c>
    </row>
    <row r="663" spans="1:5" hidden="1">
      <c r="A663" s="369">
        <v>4430</v>
      </c>
      <c r="B663" s="221" t="s">
        <v>275</v>
      </c>
      <c r="C663" s="222">
        <v>2198</v>
      </c>
      <c r="D663" s="227">
        <v>1656.06</v>
      </c>
      <c r="E663" s="224">
        <f t="shared" si="13"/>
        <v>75.343949044585983</v>
      </c>
    </row>
    <row r="664" spans="1:5" hidden="1">
      <c r="A664" s="369">
        <v>4430</v>
      </c>
      <c r="B664" s="221" t="s">
        <v>275</v>
      </c>
      <c r="C664" s="222">
        <v>54</v>
      </c>
      <c r="D664" s="227">
        <v>54</v>
      </c>
      <c r="E664" s="224">
        <f t="shared" si="13"/>
        <v>100</v>
      </c>
    </row>
    <row r="665" spans="1:5" hidden="1">
      <c r="A665" s="369">
        <v>4430</v>
      </c>
      <c r="B665" s="248" t="s">
        <v>235</v>
      </c>
      <c r="C665" s="222">
        <v>1500</v>
      </c>
      <c r="D665" s="227">
        <v>31.5</v>
      </c>
      <c r="E665" s="224">
        <f t="shared" si="13"/>
        <v>2.1</v>
      </c>
    </row>
    <row r="666" spans="1:5" hidden="1">
      <c r="A666" s="369">
        <v>4430</v>
      </c>
      <c r="B666" s="248" t="s">
        <v>235</v>
      </c>
      <c r="C666" s="222">
        <v>500</v>
      </c>
      <c r="D666" s="227">
        <v>282.85000000000002</v>
      </c>
      <c r="E666" s="224">
        <f t="shared" si="13"/>
        <v>56.570000000000007</v>
      </c>
    </row>
    <row r="667" spans="1:5" hidden="1">
      <c r="A667" s="361">
        <v>4430</v>
      </c>
      <c r="B667" s="248" t="s">
        <v>235</v>
      </c>
      <c r="C667" s="222">
        <v>200</v>
      </c>
      <c r="D667" s="227">
        <v>73.400000000000006</v>
      </c>
      <c r="E667" s="224">
        <f t="shared" si="13"/>
        <v>36.700000000000003</v>
      </c>
    </row>
    <row r="668" spans="1:5" hidden="1">
      <c r="A668" s="369">
        <v>4430</v>
      </c>
      <c r="B668" s="248" t="s">
        <v>235</v>
      </c>
      <c r="C668" s="222">
        <v>1000</v>
      </c>
      <c r="D668" s="227">
        <v>725.65</v>
      </c>
      <c r="E668" s="224">
        <f t="shared" si="13"/>
        <v>72.564999999999998</v>
      </c>
    </row>
    <row r="669" spans="1:5" hidden="1">
      <c r="A669" s="369">
        <v>4430</v>
      </c>
      <c r="B669" s="248" t="s">
        <v>235</v>
      </c>
      <c r="C669" s="222">
        <v>1580</v>
      </c>
      <c r="D669" s="227">
        <v>0</v>
      </c>
      <c r="E669" s="224">
        <f t="shared" si="13"/>
        <v>0</v>
      </c>
    </row>
    <row r="670" spans="1:5" hidden="1">
      <c r="A670" s="369">
        <v>4440</v>
      </c>
      <c r="B670" s="221" t="s">
        <v>236</v>
      </c>
      <c r="C670" s="222">
        <v>1285</v>
      </c>
      <c r="D670" s="227">
        <v>1285</v>
      </c>
      <c r="E670" s="224">
        <f t="shared" si="13"/>
        <v>100</v>
      </c>
    </row>
    <row r="671" spans="1:5" hidden="1">
      <c r="A671" s="369">
        <v>4440</v>
      </c>
      <c r="B671" s="221" t="s">
        <v>236</v>
      </c>
      <c r="C671" s="222">
        <v>15000</v>
      </c>
      <c r="D671" s="227">
        <v>12000</v>
      </c>
      <c r="E671" s="224">
        <f t="shared" si="13"/>
        <v>80</v>
      </c>
    </row>
    <row r="672" spans="1:5" hidden="1">
      <c r="A672" s="369">
        <v>4440</v>
      </c>
      <c r="B672" s="221" t="s">
        <v>236</v>
      </c>
      <c r="C672" s="222">
        <v>3853</v>
      </c>
      <c r="D672" s="227">
        <v>2900</v>
      </c>
      <c r="E672" s="224">
        <f t="shared" si="13"/>
        <v>75.266026472878281</v>
      </c>
    </row>
    <row r="673" spans="1:5" hidden="1">
      <c r="A673" s="369">
        <v>4440</v>
      </c>
      <c r="B673" s="221" t="s">
        <v>236</v>
      </c>
      <c r="C673" s="222">
        <v>62908</v>
      </c>
      <c r="D673" s="227">
        <v>45915</v>
      </c>
      <c r="E673" s="224">
        <f t="shared" si="13"/>
        <v>72.987537356139129</v>
      </c>
    </row>
    <row r="674" spans="1:5" hidden="1">
      <c r="A674" s="369">
        <v>4440</v>
      </c>
      <c r="B674" s="221" t="s">
        <v>236</v>
      </c>
      <c r="C674" s="222">
        <v>907</v>
      </c>
      <c r="D674" s="227">
        <v>805</v>
      </c>
      <c r="E674" s="224">
        <f t="shared" si="13"/>
        <v>88.754134509371553</v>
      </c>
    </row>
    <row r="675" spans="1:5" hidden="1">
      <c r="A675" s="369">
        <v>4440</v>
      </c>
      <c r="B675" s="221" t="s">
        <v>236</v>
      </c>
      <c r="C675" s="222">
        <v>37537</v>
      </c>
      <c r="D675" s="227">
        <v>30200</v>
      </c>
      <c r="E675" s="224">
        <f t="shared" si="13"/>
        <v>80.45395210059408</v>
      </c>
    </row>
    <row r="676" spans="1:5" hidden="1">
      <c r="A676" s="369">
        <v>4440</v>
      </c>
      <c r="B676" s="221" t="s">
        <v>236</v>
      </c>
      <c r="C676" s="222">
        <v>21114</v>
      </c>
      <c r="D676" s="227">
        <v>18140</v>
      </c>
      <c r="E676" s="224">
        <f t="shared" si="13"/>
        <v>85.914559060339116</v>
      </c>
    </row>
    <row r="677" spans="1:5" hidden="1">
      <c r="A677" s="369">
        <v>4440</v>
      </c>
      <c r="B677" s="221" t="s">
        <v>236</v>
      </c>
      <c r="C677" s="222">
        <v>13232</v>
      </c>
      <c r="D677" s="227">
        <v>9924</v>
      </c>
      <c r="E677" s="224">
        <f t="shared" si="13"/>
        <v>75</v>
      </c>
    </row>
    <row r="678" spans="1:5" hidden="1">
      <c r="A678" s="369">
        <v>4440</v>
      </c>
      <c r="B678" s="221" t="s">
        <v>236</v>
      </c>
      <c r="C678" s="222">
        <v>109326</v>
      </c>
      <c r="D678" s="227">
        <v>88500</v>
      </c>
      <c r="E678" s="224">
        <f t="shared" si="13"/>
        <v>80.950551561385211</v>
      </c>
    </row>
    <row r="679" spans="1:5" hidden="1">
      <c r="A679" s="369">
        <v>4440</v>
      </c>
      <c r="B679" s="221" t="s">
        <v>236</v>
      </c>
      <c r="C679" s="222">
        <v>35024</v>
      </c>
      <c r="D679" s="227">
        <v>34345</v>
      </c>
      <c r="E679" s="224">
        <f t="shared" si="13"/>
        <v>98.06132937414344</v>
      </c>
    </row>
    <row r="680" spans="1:5" hidden="1">
      <c r="A680" s="369">
        <v>4440</v>
      </c>
      <c r="B680" s="221" t="s">
        <v>236</v>
      </c>
      <c r="C680" s="222">
        <v>14016</v>
      </c>
      <c r="D680" s="227">
        <v>11129</v>
      </c>
      <c r="E680" s="224">
        <f t="shared" si="13"/>
        <v>79.402111872146122</v>
      </c>
    </row>
    <row r="681" spans="1:5" hidden="1">
      <c r="A681" s="369">
        <v>4440</v>
      </c>
      <c r="B681" s="221" t="s">
        <v>236</v>
      </c>
      <c r="C681" s="222">
        <v>7575</v>
      </c>
      <c r="D681" s="227">
        <v>5681</v>
      </c>
      <c r="E681" s="224">
        <f t="shared" si="13"/>
        <v>74.996699669967001</v>
      </c>
    </row>
    <row r="682" spans="1:5" hidden="1">
      <c r="A682" s="369">
        <v>4440</v>
      </c>
      <c r="B682" s="221" t="s">
        <v>236</v>
      </c>
      <c r="C682" s="222">
        <v>9375</v>
      </c>
      <c r="D682" s="227">
        <v>7031</v>
      </c>
      <c r="E682" s="224">
        <f t="shared" si="13"/>
        <v>74.99733333333333</v>
      </c>
    </row>
    <row r="683" spans="1:5" hidden="1">
      <c r="A683" s="369">
        <v>4440</v>
      </c>
      <c r="B683" s="221" t="s">
        <v>236</v>
      </c>
      <c r="C683" s="222">
        <v>4672</v>
      </c>
      <c r="D683" s="227">
        <v>3709</v>
      </c>
      <c r="E683" s="224">
        <f t="shared" si="13"/>
        <v>79.387842465753423</v>
      </c>
    </row>
    <row r="684" spans="1:5" hidden="1">
      <c r="A684" s="369">
        <v>4440</v>
      </c>
      <c r="B684" s="248" t="s">
        <v>236</v>
      </c>
      <c r="C684" s="222">
        <v>165189</v>
      </c>
      <c r="D684" s="227">
        <v>123892</v>
      </c>
      <c r="E684" s="224">
        <f t="shared" si="13"/>
        <v>75.000151341796368</v>
      </c>
    </row>
    <row r="685" spans="1:5" hidden="1">
      <c r="A685" s="369">
        <v>4440</v>
      </c>
      <c r="B685" s="248" t="s">
        <v>236</v>
      </c>
      <c r="C685" s="222">
        <v>35909</v>
      </c>
      <c r="D685" s="227">
        <v>26932</v>
      </c>
      <c r="E685" s="224">
        <f t="shared" si="13"/>
        <v>75.000696204294186</v>
      </c>
    </row>
    <row r="686" spans="1:5" hidden="1">
      <c r="A686" s="369">
        <v>4440</v>
      </c>
      <c r="B686" s="221" t="s">
        <v>236</v>
      </c>
      <c r="C686" s="222">
        <v>4672</v>
      </c>
      <c r="D686" s="227">
        <v>3709</v>
      </c>
      <c r="E686" s="224">
        <f t="shared" si="13"/>
        <v>79.387842465753423</v>
      </c>
    </row>
    <row r="687" spans="1:5" hidden="1">
      <c r="A687" s="369">
        <v>4440</v>
      </c>
      <c r="B687" s="221" t="s">
        <v>236</v>
      </c>
      <c r="C687" s="222">
        <v>1813</v>
      </c>
      <c r="D687" s="227">
        <v>2199.7399999999998</v>
      </c>
      <c r="E687" s="224">
        <f t="shared" si="13"/>
        <v>121.33149476006618</v>
      </c>
    </row>
    <row r="688" spans="1:5" hidden="1">
      <c r="A688" s="361">
        <v>4440</v>
      </c>
      <c r="B688" s="221" t="s">
        <v>236</v>
      </c>
      <c r="C688" s="222">
        <v>3621</v>
      </c>
      <c r="D688" s="227">
        <v>2716</v>
      </c>
      <c r="E688" s="224">
        <f t="shared" si="13"/>
        <v>75.006904170118759</v>
      </c>
    </row>
    <row r="689" spans="1:5" hidden="1">
      <c r="A689" s="369">
        <v>4440</v>
      </c>
      <c r="B689" s="248" t="s">
        <v>236</v>
      </c>
      <c r="C689" s="222">
        <v>57165</v>
      </c>
      <c r="D689" s="227">
        <v>42874</v>
      </c>
      <c r="E689" s="224">
        <f t="shared" si="13"/>
        <v>75.000437330534425</v>
      </c>
    </row>
    <row r="690" spans="1:5" hidden="1">
      <c r="A690" s="369">
        <v>4440</v>
      </c>
      <c r="B690" s="248" t="s">
        <v>236</v>
      </c>
      <c r="C690" s="222">
        <v>907</v>
      </c>
      <c r="D690" s="227">
        <v>680</v>
      </c>
      <c r="E690" s="224">
        <f t="shared" si="13"/>
        <v>74.972436604189639</v>
      </c>
    </row>
    <row r="691" spans="1:5" hidden="1">
      <c r="A691" s="369">
        <v>4440</v>
      </c>
      <c r="B691" s="248" t="s">
        <v>236</v>
      </c>
      <c r="C691" s="222">
        <v>7706</v>
      </c>
      <c r="D691" s="227">
        <v>5800</v>
      </c>
      <c r="E691" s="224">
        <f t="shared" si="13"/>
        <v>75.266026472878281</v>
      </c>
    </row>
    <row r="692" spans="1:5" hidden="1">
      <c r="A692" s="361">
        <v>4440</v>
      </c>
      <c r="B692" s="248" t="s">
        <v>236</v>
      </c>
      <c r="C692" s="222">
        <v>4890</v>
      </c>
      <c r="D692" s="227">
        <v>3668</v>
      </c>
      <c r="E692" s="224">
        <f t="shared" si="13"/>
        <v>75.010224948875262</v>
      </c>
    </row>
    <row r="693" spans="1:5" hidden="1">
      <c r="A693" s="369">
        <v>4440</v>
      </c>
      <c r="B693" s="248" t="s">
        <v>236</v>
      </c>
      <c r="C693" s="222">
        <v>7410</v>
      </c>
      <c r="D693" s="227">
        <v>5600</v>
      </c>
      <c r="E693" s="224">
        <f t="shared" si="13"/>
        <v>75.57354925775978</v>
      </c>
    </row>
    <row r="694" spans="1:5" hidden="1">
      <c r="A694" s="369">
        <v>4440</v>
      </c>
      <c r="B694" s="248" t="s">
        <v>236</v>
      </c>
      <c r="C694" s="222">
        <v>907</v>
      </c>
      <c r="D694" s="227">
        <v>805</v>
      </c>
      <c r="E694" s="224">
        <f t="shared" si="13"/>
        <v>88.754134509371553</v>
      </c>
    </row>
    <row r="695" spans="1:5" hidden="1">
      <c r="A695" s="369">
        <v>4440</v>
      </c>
      <c r="B695" s="248" t="s">
        <v>236</v>
      </c>
      <c r="C695" s="222">
        <v>41288</v>
      </c>
      <c r="D695" s="227">
        <v>37171</v>
      </c>
      <c r="E695" s="224">
        <f t="shared" si="13"/>
        <v>90.028579732609955</v>
      </c>
    </row>
    <row r="696" spans="1:5" hidden="1">
      <c r="A696" s="369">
        <v>4440</v>
      </c>
      <c r="B696" s="248" t="s">
        <v>236</v>
      </c>
      <c r="C696" s="222">
        <v>35276</v>
      </c>
      <c r="D696" s="227">
        <v>28501</v>
      </c>
      <c r="E696" s="224">
        <f t="shared" si="13"/>
        <v>80.794307744642254</v>
      </c>
    </row>
    <row r="697" spans="1:5" hidden="1">
      <c r="A697" s="369">
        <v>4440</v>
      </c>
      <c r="B697" s="248" t="s">
        <v>236</v>
      </c>
      <c r="C697" s="222">
        <v>13798</v>
      </c>
      <c r="D697" s="227">
        <v>13798</v>
      </c>
      <c r="E697" s="224">
        <f t="shared" si="13"/>
        <v>100</v>
      </c>
    </row>
    <row r="698" spans="1:5" hidden="1">
      <c r="A698" s="369">
        <v>4440</v>
      </c>
      <c r="B698" s="248" t="s">
        <v>236</v>
      </c>
      <c r="C698" s="222">
        <v>13446</v>
      </c>
      <c r="D698" s="227">
        <v>10085</v>
      </c>
      <c r="E698" s="224">
        <f t="shared" si="13"/>
        <v>75.003718578015764</v>
      </c>
    </row>
    <row r="699" spans="1:5" hidden="1">
      <c r="A699" s="369">
        <v>4440</v>
      </c>
      <c r="B699" s="248" t="s">
        <v>236</v>
      </c>
      <c r="C699" s="222">
        <v>7716</v>
      </c>
      <c r="D699" s="227">
        <v>5787</v>
      </c>
      <c r="E699" s="224">
        <f t="shared" si="13"/>
        <v>75</v>
      </c>
    </row>
    <row r="700" spans="1:5" hidden="1">
      <c r="A700" s="369">
        <v>4440</v>
      </c>
      <c r="B700" s="248" t="s">
        <v>236</v>
      </c>
      <c r="C700" s="222">
        <v>31384</v>
      </c>
      <c r="D700" s="227">
        <v>23538</v>
      </c>
      <c r="E700" s="224">
        <f t="shared" si="13"/>
        <v>75</v>
      </c>
    </row>
    <row r="701" spans="1:5" hidden="1">
      <c r="A701" s="369">
        <v>4448</v>
      </c>
      <c r="B701" s="248" t="s">
        <v>236</v>
      </c>
      <c r="C701" s="222">
        <v>1813</v>
      </c>
      <c r="D701" s="227">
        <v>0</v>
      </c>
      <c r="E701" s="224">
        <f t="shared" si="13"/>
        <v>0</v>
      </c>
    </row>
    <row r="702" spans="1:5" hidden="1">
      <c r="A702" s="369">
        <v>4448</v>
      </c>
      <c r="B702" s="248" t="s">
        <v>236</v>
      </c>
      <c r="C702" s="222">
        <v>571</v>
      </c>
      <c r="D702" s="227">
        <v>570.41999999999996</v>
      </c>
      <c r="E702" s="224">
        <f t="shared" si="13"/>
        <v>99.898423817863389</v>
      </c>
    </row>
    <row r="703" spans="1:5" hidden="1">
      <c r="A703" s="369">
        <v>4449</v>
      </c>
      <c r="B703" s="248" t="s">
        <v>236</v>
      </c>
      <c r="C703" s="222">
        <v>33</v>
      </c>
      <c r="D703" s="227">
        <v>33.58</v>
      </c>
      <c r="E703" s="224">
        <f t="shared" si="13"/>
        <v>101.75757575757575</v>
      </c>
    </row>
    <row r="704" spans="1:5" hidden="1">
      <c r="A704" s="369">
        <v>4480</v>
      </c>
      <c r="B704" s="221" t="s">
        <v>237</v>
      </c>
      <c r="C704" s="222">
        <v>3505</v>
      </c>
      <c r="D704" s="227">
        <v>1644.98</v>
      </c>
      <c r="E704" s="224">
        <f t="shared" si="13"/>
        <v>46.932382310984309</v>
      </c>
    </row>
    <row r="705" spans="1:5" hidden="1">
      <c r="A705" s="369">
        <v>4480</v>
      </c>
      <c r="B705" s="221" t="s">
        <v>237</v>
      </c>
      <c r="C705" s="222">
        <v>15000</v>
      </c>
      <c r="D705" s="227">
        <v>3485</v>
      </c>
      <c r="E705" s="224">
        <f t="shared" si="13"/>
        <v>23.233333333333334</v>
      </c>
    </row>
    <row r="706" spans="1:5" hidden="1">
      <c r="A706" s="369">
        <v>4480</v>
      </c>
      <c r="B706" s="221" t="s">
        <v>237</v>
      </c>
      <c r="C706" s="222">
        <v>218</v>
      </c>
      <c r="D706" s="227">
        <v>217</v>
      </c>
      <c r="E706" s="224">
        <f t="shared" si="13"/>
        <v>99.541284403669721</v>
      </c>
    </row>
    <row r="707" spans="1:5" hidden="1">
      <c r="A707" s="369">
        <v>4480</v>
      </c>
      <c r="B707" s="221" t="s">
        <v>237</v>
      </c>
      <c r="C707" s="222">
        <v>7253</v>
      </c>
      <c r="D707" s="227">
        <v>3626.54</v>
      </c>
      <c r="E707" s="224">
        <f t="shared" si="13"/>
        <v>50.000551495932719</v>
      </c>
    </row>
    <row r="708" spans="1:5" hidden="1">
      <c r="A708" s="369">
        <v>4480</v>
      </c>
      <c r="B708" s="248" t="s">
        <v>346</v>
      </c>
      <c r="C708" s="222">
        <v>631</v>
      </c>
      <c r="D708" s="227">
        <v>315.26</v>
      </c>
      <c r="E708" s="224">
        <f t="shared" si="13"/>
        <v>49.961965134706816</v>
      </c>
    </row>
    <row r="709" spans="1:5" hidden="1">
      <c r="A709" s="369">
        <v>4480</v>
      </c>
      <c r="B709" s="248" t="s">
        <v>346</v>
      </c>
      <c r="C709" s="222">
        <v>4710</v>
      </c>
      <c r="D709" s="227">
        <v>1360</v>
      </c>
      <c r="E709" s="224">
        <f t="shared" si="13"/>
        <v>28.874734607218684</v>
      </c>
    </row>
    <row r="710" spans="1:5" hidden="1">
      <c r="A710" s="369">
        <v>4480</v>
      </c>
      <c r="B710" s="248" t="s">
        <v>237</v>
      </c>
      <c r="C710" s="222">
        <v>3000</v>
      </c>
      <c r="D710" s="227">
        <v>1653</v>
      </c>
      <c r="E710" s="224">
        <f t="shared" si="13"/>
        <v>55.1</v>
      </c>
    </row>
    <row r="711" spans="1:5" hidden="1">
      <c r="A711" s="369">
        <v>4480</v>
      </c>
      <c r="B711" s="248" t="s">
        <v>237</v>
      </c>
      <c r="C711" s="222">
        <v>5000</v>
      </c>
      <c r="D711" s="227">
        <v>1747</v>
      </c>
      <c r="E711" s="224">
        <f t="shared" si="13"/>
        <v>34.94</v>
      </c>
    </row>
    <row r="712" spans="1:5" hidden="1">
      <c r="A712" s="369">
        <v>4480</v>
      </c>
      <c r="B712" s="248" t="s">
        <v>237</v>
      </c>
      <c r="C712" s="222">
        <v>6851</v>
      </c>
      <c r="D712" s="227">
        <v>3426</v>
      </c>
      <c r="E712" s="224">
        <f t="shared" si="13"/>
        <v>50.007298204641657</v>
      </c>
    </row>
    <row r="713" spans="1:5" hidden="1">
      <c r="A713" s="369">
        <v>4500</v>
      </c>
      <c r="B713" s="221" t="s">
        <v>265</v>
      </c>
      <c r="C713" s="222">
        <v>810</v>
      </c>
      <c r="D713" s="227">
        <v>810</v>
      </c>
      <c r="E713" s="224">
        <f t="shared" ref="E713:E776" si="14">D713*100/C713</f>
        <v>100</v>
      </c>
    </row>
    <row r="714" spans="1:5" hidden="1">
      <c r="A714" s="369">
        <v>4510</v>
      </c>
      <c r="B714" s="221" t="s">
        <v>245</v>
      </c>
      <c r="C714" s="222">
        <v>500</v>
      </c>
      <c r="D714" s="227"/>
      <c r="E714" s="224">
        <f t="shared" si="14"/>
        <v>0</v>
      </c>
    </row>
    <row r="715" spans="1:5" hidden="1">
      <c r="A715" s="369">
        <v>4510</v>
      </c>
      <c r="B715" s="221" t="s">
        <v>245</v>
      </c>
      <c r="C715" s="222">
        <v>10000</v>
      </c>
      <c r="D715" s="227">
        <v>0</v>
      </c>
      <c r="E715" s="224">
        <f t="shared" si="14"/>
        <v>0</v>
      </c>
    </row>
    <row r="716" spans="1:5" hidden="1">
      <c r="A716" s="369">
        <v>4510</v>
      </c>
      <c r="B716" s="221" t="s">
        <v>245</v>
      </c>
      <c r="C716" s="222">
        <v>145</v>
      </c>
      <c r="D716" s="227">
        <v>145.33000000000001</v>
      </c>
      <c r="E716" s="224">
        <f t="shared" si="14"/>
        <v>100.22758620689656</v>
      </c>
    </row>
    <row r="717" spans="1:5" hidden="1">
      <c r="A717" s="369">
        <v>4520</v>
      </c>
      <c r="B717" s="221" t="s">
        <v>238</v>
      </c>
      <c r="C717" s="222">
        <v>1989</v>
      </c>
      <c r="D717" s="227">
        <v>1988.4</v>
      </c>
      <c r="E717" s="224">
        <f t="shared" si="14"/>
        <v>99.969834087481146</v>
      </c>
    </row>
    <row r="718" spans="1:5" hidden="1">
      <c r="A718" s="369">
        <v>4520</v>
      </c>
      <c r="B718" s="221" t="s">
        <v>238</v>
      </c>
      <c r="C718" s="222">
        <v>2468</v>
      </c>
      <c r="D718" s="227">
        <v>2392.31</v>
      </c>
      <c r="E718" s="224">
        <f t="shared" si="14"/>
        <v>96.933144246353322</v>
      </c>
    </row>
    <row r="719" spans="1:5" hidden="1">
      <c r="A719" s="361">
        <v>4520</v>
      </c>
      <c r="B719" s="248" t="s">
        <v>300</v>
      </c>
      <c r="C719" s="222">
        <v>634</v>
      </c>
      <c r="D719" s="227">
        <v>633.55999999999995</v>
      </c>
      <c r="E719" s="224">
        <f t="shared" si="14"/>
        <v>99.930599369085158</v>
      </c>
    </row>
    <row r="720" spans="1:5" hidden="1">
      <c r="A720" s="369">
        <v>4520</v>
      </c>
      <c r="B720" s="248" t="s">
        <v>300</v>
      </c>
      <c r="C720" s="222">
        <v>951</v>
      </c>
      <c r="D720" s="227">
        <v>950.34</v>
      </c>
      <c r="E720" s="224">
        <f t="shared" si="14"/>
        <v>99.930599369085172</v>
      </c>
    </row>
    <row r="721" spans="1:5" hidden="1">
      <c r="A721" s="369">
        <v>4530</v>
      </c>
      <c r="B721" s="221" t="s">
        <v>246</v>
      </c>
      <c r="C721" s="222">
        <v>261000</v>
      </c>
      <c r="D721" s="227">
        <v>225363</v>
      </c>
      <c r="E721" s="224">
        <f t="shared" si="14"/>
        <v>86.345977011494256</v>
      </c>
    </row>
    <row r="722" spans="1:5" hidden="1">
      <c r="A722" s="369">
        <v>4530</v>
      </c>
      <c r="B722" s="221" t="s">
        <v>246</v>
      </c>
      <c r="C722" s="222">
        <v>11835</v>
      </c>
      <c r="D722" s="227">
        <v>5233.09</v>
      </c>
      <c r="E722" s="224">
        <f t="shared" si="14"/>
        <v>44.217068018588932</v>
      </c>
    </row>
    <row r="723" spans="1:5" hidden="1">
      <c r="A723" s="369">
        <v>4530</v>
      </c>
      <c r="B723" s="221" t="s">
        <v>246</v>
      </c>
      <c r="C723" s="222">
        <v>13085</v>
      </c>
      <c r="D723" s="227">
        <v>11361.21</v>
      </c>
      <c r="E723" s="224">
        <f t="shared" si="14"/>
        <v>86.826213221245695</v>
      </c>
    </row>
    <row r="724" spans="1:5" hidden="1">
      <c r="A724" s="369">
        <v>4530</v>
      </c>
      <c r="B724" s="221" t="s">
        <v>246</v>
      </c>
      <c r="C724" s="222">
        <v>10207</v>
      </c>
      <c r="D724" s="227">
        <v>5617</v>
      </c>
      <c r="E724" s="224">
        <f t="shared" si="14"/>
        <v>55.030861173704324</v>
      </c>
    </row>
    <row r="725" spans="1:5" hidden="1">
      <c r="A725" s="369">
        <v>4530</v>
      </c>
      <c r="B725" s="221" t="s">
        <v>246</v>
      </c>
      <c r="C725" s="222">
        <v>118</v>
      </c>
      <c r="D725" s="227">
        <v>117.66</v>
      </c>
      <c r="E725" s="224">
        <f t="shared" si="14"/>
        <v>99.711864406779668</v>
      </c>
    </row>
    <row r="726" spans="1:5" hidden="1">
      <c r="A726" s="369">
        <v>4530</v>
      </c>
      <c r="B726" s="221" t="s">
        <v>246</v>
      </c>
      <c r="C726" s="222">
        <v>1200</v>
      </c>
      <c r="D726" s="227">
        <v>649.17999999999995</v>
      </c>
      <c r="E726" s="224">
        <f t="shared" si="14"/>
        <v>54.098333333333329</v>
      </c>
    </row>
    <row r="727" spans="1:5" hidden="1">
      <c r="A727" s="369">
        <v>4550</v>
      </c>
      <c r="B727" s="221" t="s">
        <v>250</v>
      </c>
      <c r="C727" s="222">
        <v>750</v>
      </c>
      <c r="D727" s="227">
        <v>0</v>
      </c>
      <c r="E727" s="224">
        <f t="shared" si="14"/>
        <v>0</v>
      </c>
    </row>
    <row r="728" spans="1:5" hidden="1">
      <c r="A728" s="369">
        <v>4570</v>
      </c>
      <c r="B728" s="221" t="s">
        <v>338</v>
      </c>
      <c r="C728" s="222">
        <v>2023</v>
      </c>
      <c r="D728" s="227">
        <v>2022.37</v>
      </c>
      <c r="E728" s="224">
        <f t="shared" si="14"/>
        <v>99.968858131487892</v>
      </c>
    </row>
    <row r="729" spans="1:5" hidden="1">
      <c r="A729" s="369">
        <v>4580</v>
      </c>
      <c r="B729" s="221" t="s">
        <v>74</v>
      </c>
      <c r="C729" s="222">
        <v>176</v>
      </c>
      <c r="D729" s="227">
        <v>176</v>
      </c>
      <c r="E729" s="224">
        <f t="shared" si="14"/>
        <v>100</v>
      </c>
    </row>
    <row r="730" spans="1:5" hidden="1">
      <c r="A730" s="369">
        <v>4580</v>
      </c>
      <c r="B730" s="221" t="s">
        <v>74</v>
      </c>
      <c r="C730" s="222">
        <v>472</v>
      </c>
      <c r="D730" s="227">
        <v>214.4</v>
      </c>
      <c r="E730" s="224">
        <f t="shared" si="14"/>
        <v>45.423728813559322</v>
      </c>
    </row>
    <row r="731" spans="1:5" ht="25.5" hidden="1" customHeight="1">
      <c r="A731" s="369">
        <v>4580</v>
      </c>
      <c r="B731" s="380" t="s">
        <v>74</v>
      </c>
      <c r="C731" s="222">
        <v>50</v>
      </c>
      <c r="D731" s="227">
        <v>29.91</v>
      </c>
      <c r="E731" s="224">
        <f t="shared" si="14"/>
        <v>59.82</v>
      </c>
    </row>
    <row r="732" spans="1:5" hidden="1">
      <c r="A732" s="369">
        <v>4590</v>
      </c>
      <c r="B732" s="221" t="s">
        <v>339</v>
      </c>
      <c r="C732" s="222">
        <v>762</v>
      </c>
      <c r="D732" s="227">
        <v>760</v>
      </c>
      <c r="E732" s="224">
        <f t="shared" si="14"/>
        <v>99.737532808398953</v>
      </c>
    </row>
    <row r="733" spans="1:5" hidden="1">
      <c r="A733" s="369">
        <v>4610</v>
      </c>
      <c r="B733" s="221" t="s">
        <v>217</v>
      </c>
      <c r="C733" s="222">
        <v>100</v>
      </c>
      <c r="D733" s="227">
        <v>50.78</v>
      </c>
      <c r="E733" s="224">
        <f t="shared" si="14"/>
        <v>50.78</v>
      </c>
    </row>
    <row r="734" spans="1:5" hidden="1">
      <c r="A734" s="369">
        <v>4610</v>
      </c>
      <c r="B734" s="221" t="s">
        <v>336</v>
      </c>
      <c r="C734" s="222">
        <v>1000</v>
      </c>
      <c r="D734" s="227">
        <v>1000</v>
      </c>
      <c r="E734" s="224">
        <f t="shared" si="14"/>
        <v>100</v>
      </c>
    </row>
    <row r="735" spans="1:5" hidden="1">
      <c r="A735" s="369">
        <v>4610</v>
      </c>
      <c r="B735" s="221" t="s">
        <v>217</v>
      </c>
      <c r="C735" s="222">
        <v>18500</v>
      </c>
      <c r="D735" s="227">
        <v>16913.64</v>
      </c>
      <c r="E735" s="224">
        <f t="shared" si="14"/>
        <v>91.425081081081075</v>
      </c>
    </row>
    <row r="736" spans="1:5" hidden="1">
      <c r="A736" s="369">
        <v>4610</v>
      </c>
      <c r="B736" s="221" t="s">
        <v>217</v>
      </c>
      <c r="C736" s="222">
        <v>28</v>
      </c>
      <c r="D736" s="227">
        <v>16.82</v>
      </c>
      <c r="E736" s="224">
        <f t="shared" si="14"/>
        <v>60.071428571428569</v>
      </c>
    </row>
    <row r="737" spans="1:5" hidden="1">
      <c r="A737" s="369">
        <v>4610</v>
      </c>
      <c r="B737" s="221" t="s">
        <v>217</v>
      </c>
      <c r="C737" s="222">
        <v>700</v>
      </c>
      <c r="D737" s="227">
        <v>199.27</v>
      </c>
      <c r="E737" s="224">
        <f t="shared" si="14"/>
        <v>28.467142857142857</v>
      </c>
    </row>
    <row r="738" spans="1:5" hidden="1">
      <c r="A738" s="369">
        <v>4610</v>
      </c>
      <c r="B738" s="221" t="s">
        <v>217</v>
      </c>
      <c r="C738" s="222">
        <v>619</v>
      </c>
      <c r="D738" s="227">
        <v>619</v>
      </c>
      <c r="E738" s="224">
        <f t="shared" si="14"/>
        <v>100</v>
      </c>
    </row>
    <row r="739" spans="1:5" hidden="1">
      <c r="A739" s="369">
        <v>4700</v>
      </c>
      <c r="B739" s="221" t="s">
        <v>239</v>
      </c>
      <c r="C739" s="222">
        <v>5730</v>
      </c>
      <c r="D739" s="227">
        <v>2020</v>
      </c>
      <c r="E739" s="224">
        <f t="shared" si="14"/>
        <v>35.253054101221643</v>
      </c>
    </row>
    <row r="740" spans="1:5" hidden="1">
      <c r="A740" s="369">
        <v>4700</v>
      </c>
      <c r="B740" s="221" t="s">
        <v>239</v>
      </c>
      <c r="C740" s="222">
        <v>1000</v>
      </c>
      <c r="D740" s="227">
        <v>0</v>
      </c>
      <c r="E740" s="224">
        <f t="shared" si="14"/>
        <v>0</v>
      </c>
    </row>
    <row r="741" spans="1:5" hidden="1">
      <c r="A741" s="369">
        <v>4700</v>
      </c>
      <c r="B741" s="221" t="s">
        <v>239</v>
      </c>
      <c r="C741" s="222">
        <v>13000</v>
      </c>
      <c r="D741" s="227">
        <v>9146</v>
      </c>
      <c r="E741" s="224">
        <f t="shared" si="14"/>
        <v>70.353846153846149</v>
      </c>
    </row>
    <row r="742" spans="1:5" hidden="1">
      <c r="A742" s="369">
        <v>4700</v>
      </c>
      <c r="B742" s="221" t="s">
        <v>239</v>
      </c>
      <c r="C742" s="222">
        <v>1160</v>
      </c>
      <c r="D742" s="227">
        <v>0</v>
      </c>
      <c r="E742" s="224">
        <f t="shared" si="14"/>
        <v>0</v>
      </c>
    </row>
    <row r="743" spans="1:5" hidden="1">
      <c r="A743" s="369">
        <v>4700</v>
      </c>
      <c r="B743" s="221" t="s">
        <v>239</v>
      </c>
      <c r="C743" s="222">
        <v>500</v>
      </c>
      <c r="D743" s="227">
        <v>462.6</v>
      </c>
      <c r="E743" s="224">
        <f t="shared" si="14"/>
        <v>92.52</v>
      </c>
    </row>
    <row r="744" spans="1:5" hidden="1">
      <c r="A744" s="369">
        <v>4700</v>
      </c>
      <c r="B744" s="221" t="s">
        <v>239</v>
      </c>
      <c r="C744" s="222">
        <v>360</v>
      </c>
      <c r="D744" s="227">
        <v>0</v>
      </c>
      <c r="E744" s="224">
        <f t="shared" si="14"/>
        <v>0</v>
      </c>
    </row>
    <row r="745" spans="1:5" hidden="1">
      <c r="A745" s="369">
        <v>4700</v>
      </c>
      <c r="B745" s="221" t="s">
        <v>239</v>
      </c>
      <c r="C745" s="222">
        <v>117</v>
      </c>
      <c r="D745" s="227">
        <v>47.39</v>
      </c>
      <c r="E745" s="224">
        <f t="shared" si="14"/>
        <v>40.504273504273506</v>
      </c>
    </row>
    <row r="746" spans="1:5" hidden="1">
      <c r="A746" s="369">
        <v>4700</v>
      </c>
      <c r="B746" s="221" t="s">
        <v>239</v>
      </c>
      <c r="C746" s="222">
        <v>159</v>
      </c>
      <c r="D746" s="227">
        <v>64.400000000000006</v>
      </c>
      <c r="E746" s="224">
        <f t="shared" si="14"/>
        <v>40.503144654088054</v>
      </c>
    </row>
    <row r="747" spans="1:5" hidden="1">
      <c r="A747" s="369">
        <v>4700</v>
      </c>
      <c r="B747" s="221" t="s">
        <v>239</v>
      </c>
      <c r="C747" s="222">
        <v>120</v>
      </c>
      <c r="D747" s="227">
        <v>0</v>
      </c>
      <c r="E747" s="224">
        <f t="shared" si="14"/>
        <v>0</v>
      </c>
    </row>
    <row r="748" spans="1:5" hidden="1">
      <c r="A748" s="369">
        <v>4700</v>
      </c>
      <c r="B748" s="221" t="s">
        <v>239</v>
      </c>
      <c r="C748" s="222">
        <v>1770</v>
      </c>
      <c r="D748" s="227">
        <v>718.21</v>
      </c>
      <c r="E748" s="224">
        <f t="shared" si="14"/>
        <v>40.576836158192087</v>
      </c>
    </row>
    <row r="749" spans="1:5" hidden="1">
      <c r="A749" s="369">
        <v>4700</v>
      </c>
      <c r="B749" s="221" t="s">
        <v>239</v>
      </c>
      <c r="C749" s="222">
        <v>120</v>
      </c>
      <c r="D749" s="227">
        <v>0</v>
      </c>
      <c r="E749" s="224">
        <f t="shared" si="14"/>
        <v>0</v>
      </c>
    </row>
    <row r="750" spans="1:5" hidden="1">
      <c r="A750" s="360">
        <v>4700</v>
      </c>
      <c r="B750" s="332" t="s">
        <v>239</v>
      </c>
      <c r="C750" s="277">
        <v>1942</v>
      </c>
      <c r="D750" s="278">
        <v>422</v>
      </c>
      <c r="E750" s="224">
        <f t="shared" si="14"/>
        <v>21.730175077239959</v>
      </c>
    </row>
    <row r="751" spans="1:5" hidden="1">
      <c r="A751" s="371">
        <v>4700</v>
      </c>
      <c r="B751" s="221" t="s">
        <v>239</v>
      </c>
      <c r="C751" s="277">
        <v>2000</v>
      </c>
      <c r="D751" s="278">
        <v>0</v>
      </c>
      <c r="E751" s="224">
        <f t="shared" si="14"/>
        <v>0</v>
      </c>
    </row>
    <row r="752" spans="1:5" hidden="1">
      <c r="A752" s="360">
        <v>4700</v>
      </c>
      <c r="B752" s="221" t="s">
        <v>239</v>
      </c>
      <c r="C752" s="277">
        <v>2000</v>
      </c>
      <c r="D752" s="278">
        <v>650</v>
      </c>
      <c r="E752" s="224">
        <f t="shared" si="14"/>
        <v>32.5</v>
      </c>
    </row>
    <row r="753" spans="1:5" hidden="1">
      <c r="A753" s="369">
        <v>4700</v>
      </c>
      <c r="B753" s="221" t="s">
        <v>239</v>
      </c>
      <c r="C753" s="222">
        <v>1000</v>
      </c>
      <c r="D753" s="227">
        <v>571</v>
      </c>
      <c r="E753" s="224">
        <f t="shared" si="14"/>
        <v>57.1</v>
      </c>
    </row>
    <row r="754" spans="1:5" hidden="1">
      <c r="A754" s="369">
        <v>4700</v>
      </c>
      <c r="B754" s="221" t="s">
        <v>239</v>
      </c>
      <c r="C754" s="222">
        <v>2762</v>
      </c>
      <c r="D754" s="227">
        <v>0</v>
      </c>
      <c r="E754" s="224">
        <f t="shared" si="14"/>
        <v>0</v>
      </c>
    </row>
    <row r="755" spans="1:5" hidden="1">
      <c r="A755" s="369">
        <v>4700</v>
      </c>
      <c r="B755" s="221" t="s">
        <v>239</v>
      </c>
      <c r="C755" s="222">
        <v>1600</v>
      </c>
      <c r="D755" s="227">
        <v>0</v>
      </c>
      <c r="E755" s="224">
        <f t="shared" si="14"/>
        <v>0</v>
      </c>
    </row>
    <row r="756" spans="1:5" hidden="1">
      <c r="A756" s="369">
        <v>4700</v>
      </c>
      <c r="B756" s="221" t="s">
        <v>239</v>
      </c>
      <c r="C756" s="222">
        <v>512</v>
      </c>
      <c r="D756" s="227">
        <v>250</v>
      </c>
      <c r="E756" s="224">
        <f t="shared" si="14"/>
        <v>48.828125</v>
      </c>
    </row>
    <row r="757" spans="1:5" hidden="1">
      <c r="A757" s="369">
        <v>4700</v>
      </c>
      <c r="B757" s="221" t="s">
        <v>239</v>
      </c>
      <c r="C757" s="222">
        <v>500</v>
      </c>
      <c r="D757" s="227">
        <v>0</v>
      </c>
      <c r="E757" s="224">
        <f t="shared" si="14"/>
        <v>0</v>
      </c>
    </row>
    <row r="758" spans="1:5" hidden="1">
      <c r="A758" s="369">
        <v>4700</v>
      </c>
      <c r="B758" s="221" t="s">
        <v>239</v>
      </c>
      <c r="C758" s="222">
        <v>1000</v>
      </c>
      <c r="D758" s="227">
        <v>960</v>
      </c>
      <c r="E758" s="224">
        <f t="shared" si="14"/>
        <v>96</v>
      </c>
    </row>
    <row r="759" spans="1:5" hidden="1">
      <c r="A759" s="369">
        <v>4700</v>
      </c>
      <c r="B759" s="221" t="s">
        <v>239</v>
      </c>
      <c r="C759" s="222">
        <v>2096</v>
      </c>
      <c r="D759" s="227">
        <v>315.8</v>
      </c>
      <c r="E759" s="224">
        <f t="shared" si="14"/>
        <v>15.066793893129772</v>
      </c>
    </row>
    <row r="760" spans="1:5" hidden="1">
      <c r="A760" s="369">
        <v>4700</v>
      </c>
      <c r="B760" s="221" t="s">
        <v>239</v>
      </c>
      <c r="C760" s="222">
        <v>2000</v>
      </c>
      <c r="D760" s="229">
        <v>0</v>
      </c>
      <c r="E760" s="224">
        <f t="shared" si="14"/>
        <v>0</v>
      </c>
    </row>
    <row r="761" spans="1:5" hidden="1">
      <c r="A761" s="369">
        <v>4740</v>
      </c>
      <c r="B761" s="221" t="s">
        <v>240</v>
      </c>
      <c r="C761" s="222">
        <v>700</v>
      </c>
      <c r="D761" s="227">
        <v>200.82</v>
      </c>
      <c r="E761" s="224">
        <f t="shared" si="14"/>
        <v>28.688571428571429</v>
      </c>
    </row>
    <row r="762" spans="1:5" hidden="1">
      <c r="A762" s="369">
        <v>4740</v>
      </c>
      <c r="B762" s="221" t="s">
        <v>240</v>
      </c>
      <c r="C762" s="222">
        <v>500</v>
      </c>
      <c r="D762" s="227">
        <v>0</v>
      </c>
      <c r="E762" s="224">
        <f t="shared" si="14"/>
        <v>0</v>
      </c>
    </row>
    <row r="763" spans="1:5" hidden="1">
      <c r="A763" s="369">
        <v>4740</v>
      </c>
      <c r="B763" s="221" t="s">
        <v>240</v>
      </c>
      <c r="C763" s="222">
        <v>12000</v>
      </c>
      <c r="D763" s="227">
        <v>4313.68</v>
      </c>
      <c r="E763" s="224">
        <f t="shared" si="14"/>
        <v>35.947333333333333</v>
      </c>
    </row>
    <row r="764" spans="1:5" hidden="1">
      <c r="A764" s="369">
        <v>4740</v>
      </c>
      <c r="B764" s="221" t="s">
        <v>240</v>
      </c>
      <c r="C764" s="222">
        <v>1100</v>
      </c>
      <c r="D764" s="227">
        <v>568.85</v>
      </c>
      <c r="E764" s="224">
        <f t="shared" si="14"/>
        <v>51.713636363636361</v>
      </c>
    </row>
    <row r="765" spans="1:5" hidden="1">
      <c r="A765" s="369">
        <v>4740</v>
      </c>
      <c r="B765" s="221" t="s">
        <v>240</v>
      </c>
      <c r="C765" s="222">
        <v>800</v>
      </c>
      <c r="D765" s="227">
        <v>544.73</v>
      </c>
      <c r="E765" s="224">
        <f t="shared" si="14"/>
        <v>68.091250000000002</v>
      </c>
    </row>
    <row r="766" spans="1:5" hidden="1">
      <c r="A766" s="369">
        <v>4740</v>
      </c>
      <c r="B766" s="221" t="s">
        <v>240</v>
      </c>
      <c r="C766" s="222">
        <v>500</v>
      </c>
      <c r="D766" s="227">
        <v>106.9</v>
      </c>
      <c r="E766" s="224">
        <f t="shared" si="14"/>
        <v>21.38</v>
      </c>
    </row>
    <row r="767" spans="1:5" hidden="1">
      <c r="A767" s="369">
        <v>4740</v>
      </c>
      <c r="B767" s="221" t="s">
        <v>240</v>
      </c>
      <c r="C767" s="222">
        <v>2046</v>
      </c>
      <c r="D767" s="227">
        <v>1014.66</v>
      </c>
      <c r="E767" s="224">
        <f t="shared" si="14"/>
        <v>49.592375366568916</v>
      </c>
    </row>
    <row r="768" spans="1:5" hidden="1">
      <c r="A768" s="369">
        <v>4740</v>
      </c>
      <c r="B768" s="221" t="s">
        <v>240</v>
      </c>
      <c r="C768" s="222">
        <v>240</v>
      </c>
      <c r="D768" s="227">
        <v>30.7</v>
      </c>
      <c r="E768" s="224">
        <f t="shared" si="14"/>
        <v>12.791666666666666</v>
      </c>
    </row>
    <row r="769" spans="1:5" hidden="1">
      <c r="A769" s="369">
        <v>4740</v>
      </c>
      <c r="B769" s="221" t="s">
        <v>240</v>
      </c>
      <c r="C769" s="222">
        <v>175</v>
      </c>
      <c r="D769" s="227">
        <v>100.62</v>
      </c>
      <c r="E769" s="224">
        <f t="shared" si="14"/>
        <v>57.497142857142855</v>
      </c>
    </row>
    <row r="770" spans="1:5" hidden="1">
      <c r="A770" s="369">
        <v>4740</v>
      </c>
      <c r="B770" s="221" t="s">
        <v>240</v>
      </c>
      <c r="C770" s="222">
        <v>238</v>
      </c>
      <c r="D770" s="227">
        <v>136.74</v>
      </c>
      <c r="E770" s="224">
        <f t="shared" si="14"/>
        <v>57.45378151260504</v>
      </c>
    </row>
    <row r="771" spans="1:5" hidden="1">
      <c r="A771" s="369">
        <v>4740</v>
      </c>
      <c r="B771" s="221" t="s">
        <v>240</v>
      </c>
      <c r="C771" s="222">
        <v>80</v>
      </c>
      <c r="D771" s="227">
        <v>10.24</v>
      </c>
      <c r="E771" s="224">
        <f t="shared" si="14"/>
        <v>12.8</v>
      </c>
    </row>
    <row r="772" spans="1:5" hidden="1">
      <c r="A772" s="369">
        <v>4740</v>
      </c>
      <c r="B772" s="221" t="s">
        <v>240</v>
      </c>
      <c r="C772" s="222">
        <v>2656</v>
      </c>
      <c r="D772" s="227">
        <v>1524.7</v>
      </c>
      <c r="E772" s="224">
        <f t="shared" si="14"/>
        <v>57.405873493975903</v>
      </c>
    </row>
    <row r="773" spans="1:5" hidden="1">
      <c r="A773" s="369">
        <v>4740</v>
      </c>
      <c r="B773" s="221" t="s">
        <v>240</v>
      </c>
      <c r="C773" s="222">
        <v>80</v>
      </c>
      <c r="D773" s="227">
        <v>10.24</v>
      </c>
      <c r="E773" s="224">
        <f t="shared" si="14"/>
        <v>12.8</v>
      </c>
    </row>
    <row r="774" spans="1:5" hidden="1">
      <c r="A774" s="369">
        <v>4740</v>
      </c>
      <c r="B774" s="221" t="s">
        <v>240</v>
      </c>
      <c r="C774" s="222">
        <v>1366</v>
      </c>
      <c r="D774" s="227">
        <v>0</v>
      </c>
      <c r="E774" s="224">
        <f t="shared" si="14"/>
        <v>0</v>
      </c>
    </row>
    <row r="775" spans="1:5" hidden="1">
      <c r="A775" s="361">
        <v>4740</v>
      </c>
      <c r="B775" s="221" t="s">
        <v>240</v>
      </c>
      <c r="C775" s="222">
        <v>2000</v>
      </c>
      <c r="D775" s="227">
        <v>0</v>
      </c>
      <c r="E775" s="224">
        <f t="shared" si="14"/>
        <v>0</v>
      </c>
    </row>
    <row r="776" spans="1:5" hidden="1">
      <c r="A776" s="361">
        <v>4740</v>
      </c>
      <c r="B776" s="221" t="s">
        <v>240</v>
      </c>
      <c r="C776" s="222">
        <v>500</v>
      </c>
      <c r="D776" s="227">
        <v>0</v>
      </c>
      <c r="E776" s="224">
        <f t="shared" si="14"/>
        <v>0</v>
      </c>
    </row>
    <row r="777" spans="1:5" hidden="1">
      <c r="A777" s="369">
        <v>4740</v>
      </c>
      <c r="B777" s="221" t="s">
        <v>240</v>
      </c>
      <c r="C777" s="222">
        <v>2937</v>
      </c>
      <c r="D777" s="227">
        <v>347.7</v>
      </c>
      <c r="E777" s="224">
        <f t="shared" ref="E777:E824" si="15">D777*100/C777</f>
        <v>11.838610827374872</v>
      </c>
    </row>
    <row r="778" spans="1:5" hidden="1">
      <c r="A778" s="369">
        <v>4740</v>
      </c>
      <c r="B778" s="221" t="s">
        <v>240</v>
      </c>
      <c r="C778" s="222">
        <v>500</v>
      </c>
      <c r="D778" s="227">
        <v>0</v>
      </c>
      <c r="E778" s="224">
        <f t="shared" si="15"/>
        <v>0</v>
      </c>
    </row>
    <row r="779" spans="1:5" hidden="1">
      <c r="A779" s="369">
        <v>4740</v>
      </c>
      <c r="B779" s="221" t="s">
        <v>240</v>
      </c>
      <c r="C779" s="222">
        <v>200</v>
      </c>
      <c r="D779" s="227">
        <v>77.400000000000006</v>
      </c>
      <c r="E779" s="224">
        <f t="shared" si="15"/>
        <v>38.700000000000003</v>
      </c>
    </row>
    <row r="780" spans="1:5" hidden="1">
      <c r="A780" s="369">
        <v>4740</v>
      </c>
      <c r="B780" s="221" t="s">
        <v>240</v>
      </c>
      <c r="C780" s="222">
        <v>1901</v>
      </c>
      <c r="D780" s="227">
        <v>24.67</v>
      </c>
      <c r="E780" s="224">
        <f t="shared" si="15"/>
        <v>1.2977380326144135</v>
      </c>
    </row>
    <row r="781" spans="1:5" hidden="1">
      <c r="A781" s="369">
        <v>4740</v>
      </c>
      <c r="B781" s="221" t="s">
        <v>240</v>
      </c>
      <c r="C781" s="222">
        <v>400</v>
      </c>
      <c r="D781" s="227">
        <v>6</v>
      </c>
      <c r="E781" s="224">
        <f t="shared" si="15"/>
        <v>1.5</v>
      </c>
    </row>
    <row r="782" spans="1:5" hidden="1">
      <c r="A782" s="369">
        <v>4740</v>
      </c>
      <c r="B782" s="221" t="s">
        <v>240</v>
      </c>
      <c r="C782" s="222">
        <v>1500</v>
      </c>
      <c r="D782" s="227">
        <v>0</v>
      </c>
      <c r="E782" s="224">
        <f t="shared" si="15"/>
        <v>0</v>
      </c>
    </row>
    <row r="783" spans="1:5" hidden="1">
      <c r="A783" s="369">
        <v>4748</v>
      </c>
      <c r="B783" s="221" t="s">
        <v>240</v>
      </c>
      <c r="C783" s="222">
        <v>5666</v>
      </c>
      <c r="D783" s="227">
        <v>218.91</v>
      </c>
      <c r="E783" s="224">
        <f t="shared" si="15"/>
        <v>3.863572184962937</v>
      </c>
    </row>
    <row r="784" spans="1:5" hidden="1">
      <c r="A784" s="369">
        <v>4749</v>
      </c>
      <c r="B784" s="221" t="s">
        <v>240</v>
      </c>
      <c r="C784" s="222">
        <v>334</v>
      </c>
      <c r="D784" s="227">
        <v>12.89</v>
      </c>
      <c r="E784" s="224">
        <f t="shared" si="15"/>
        <v>3.8592814371257487</v>
      </c>
    </row>
    <row r="785" spans="1:5" hidden="1">
      <c r="A785" s="369">
        <v>4750</v>
      </c>
      <c r="B785" s="221" t="s">
        <v>241</v>
      </c>
      <c r="C785" s="222">
        <v>11000</v>
      </c>
      <c r="D785" s="227">
        <v>1658.12</v>
      </c>
      <c r="E785" s="224">
        <f t="shared" si="15"/>
        <v>15.073818181818181</v>
      </c>
    </row>
    <row r="786" spans="1:5" hidden="1">
      <c r="A786" s="369">
        <v>4750</v>
      </c>
      <c r="B786" s="221" t="s">
        <v>241</v>
      </c>
      <c r="C786" s="222">
        <v>1000</v>
      </c>
      <c r="D786" s="227">
        <v>0</v>
      </c>
      <c r="E786" s="224">
        <f t="shared" si="15"/>
        <v>0</v>
      </c>
    </row>
    <row r="787" spans="1:5" hidden="1">
      <c r="A787" s="369">
        <v>4750</v>
      </c>
      <c r="B787" s="221" t="s">
        <v>241</v>
      </c>
      <c r="C787" s="222">
        <v>41268</v>
      </c>
      <c r="D787" s="227">
        <v>40270.980000000003</v>
      </c>
      <c r="E787" s="224">
        <f t="shared" si="15"/>
        <v>97.584036056993327</v>
      </c>
    </row>
    <row r="788" spans="1:5" hidden="1">
      <c r="A788" s="369">
        <v>4750</v>
      </c>
      <c r="B788" s="221" t="s">
        <v>241</v>
      </c>
      <c r="C788" s="222">
        <v>2500</v>
      </c>
      <c r="D788" s="227">
        <v>1190.54</v>
      </c>
      <c r="E788" s="224">
        <f t="shared" si="15"/>
        <v>47.621600000000001</v>
      </c>
    </row>
    <row r="789" spans="1:5" hidden="1">
      <c r="A789" s="369">
        <v>4750</v>
      </c>
      <c r="B789" s="221" t="s">
        <v>241</v>
      </c>
      <c r="C789" s="222">
        <v>1099</v>
      </c>
      <c r="D789" s="227">
        <v>109.9</v>
      </c>
      <c r="E789" s="224">
        <f t="shared" si="15"/>
        <v>10</v>
      </c>
    </row>
    <row r="790" spans="1:5" hidden="1">
      <c r="A790" s="369">
        <v>4750</v>
      </c>
      <c r="B790" s="221" t="s">
        <v>241</v>
      </c>
      <c r="C790" s="222">
        <v>2888</v>
      </c>
      <c r="D790" s="227">
        <v>1741.38</v>
      </c>
      <c r="E790" s="224">
        <f t="shared" si="15"/>
        <v>60.297091412742382</v>
      </c>
    </row>
    <row r="791" spans="1:5" hidden="1">
      <c r="A791" s="369">
        <v>4750</v>
      </c>
      <c r="B791" s="221" t="s">
        <v>241</v>
      </c>
      <c r="C791" s="222">
        <v>862</v>
      </c>
      <c r="D791" s="227">
        <v>863</v>
      </c>
      <c r="E791" s="224">
        <f t="shared" si="15"/>
        <v>100.11600928074246</v>
      </c>
    </row>
    <row r="792" spans="1:5" hidden="1">
      <c r="A792" s="369">
        <v>4750</v>
      </c>
      <c r="B792" s="221" t="s">
        <v>241</v>
      </c>
      <c r="C792" s="222">
        <v>473</v>
      </c>
      <c r="D792" s="227">
        <v>265.93</v>
      </c>
      <c r="E792" s="224">
        <f t="shared" si="15"/>
        <v>56.221987315010573</v>
      </c>
    </row>
    <row r="793" spans="1:5" hidden="1">
      <c r="A793" s="369">
        <v>4750</v>
      </c>
      <c r="B793" s="221" t="s">
        <v>241</v>
      </c>
      <c r="C793" s="222">
        <v>643</v>
      </c>
      <c r="D793" s="227">
        <v>361.4</v>
      </c>
      <c r="E793" s="224">
        <f t="shared" si="15"/>
        <v>56.205287713841372</v>
      </c>
    </row>
    <row r="794" spans="1:5" hidden="1">
      <c r="A794" s="369">
        <v>4750</v>
      </c>
      <c r="B794" s="221" t="s">
        <v>241</v>
      </c>
      <c r="C794" s="222">
        <v>288</v>
      </c>
      <c r="D794" s="227">
        <v>287.68</v>
      </c>
      <c r="E794" s="224">
        <f t="shared" si="15"/>
        <v>99.888888888888886</v>
      </c>
    </row>
    <row r="795" spans="1:5" hidden="1">
      <c r="A795" s="369">
        <v>4750</v>
      </c>
      <c r="B795" s="221" t="s">
        <v>241</v>
      </c>
      <c r="C795" s="222">
        <v>7170</v>
      </c>
      <c r="D795" s="227">
        <v>4030.12</v>
      </c>
      <c r="E795" s="224">
        <f t="shared" si="15"/>
        <v>56.208089260808926</v>
      </c>
    </row>
    <row r="796" spans="1:5" ht="17.25" hidden="1" customHeight="1">
      <c r="A796" s="369">
        <v>4750</v>
      </c>
      <c r="B796" s="331" t="s">
        <v>241</v>
      </c>
      <c r="C796" s="222">
        <v>2205</v>
      </c>
      <c r="D796" s="227">
        <v>819.84</v>
      </c>
      <c r="E796" s="224">
        <f t="shared" si="15"/>
        <v>37.180952380952384</v>
      </c>
    </row>
    <row r="797" spans="1:5" ht="17.25" hidden="1" customHeight="1">
      <c r="A797" s="369">
        <v>4750</v>
      </c>
      <c r="B797" s="332" t="s">
        <v>241</v>
      </c>
      <c r="C797" s="222">
        <v>288</v>
      </c>
      <c r="D797" s="227">
        <v>287.68</v>
      </c>
      <c r="E797" s="224">
        <f t="shared" si="15"/>
        <v>99.888888888888886</v>
      </c>
    </row>
    <row r="798" spans="1:5" hidden="1">
      <c r="A798" s="361">
        <v>4750</v>
      </c>
      <c r="B798" s="221" t="s">
        <v>241</v>
      </c>
      <c r="C798" s="222">
        <v>600</v>
      </c>
      <c r="D798" s="227">
        <v>600</v>
      </c>
      <c r="E798" s="224">
        <f t="shared" si="15"/>
        <v>100</v>
      </c>
    </row>
    <row r="799" spans="1:5" hidden="1">
      <c r="A799" s="369">
        <v>4750</v>
      </c>
      <c r="B799" s="221" t="s">
        <v>241</v>
      </c>
      <c r="C799" s="222">
        <v>3600</v>
      </c>
      <c r="D799" s="227">
        <v>2548.33</v>
      </c>
      <c r="E799" s="224">
        <f t="shared" si="15"/>
        <v>70.786944444444444</v>
      </c>
    </row>
    <row r="800" spans="1:5" hidden="1">
      <c r="A800" s="361">
        <v>4750</v>
      </c>
      <c r="B800" s="221" t="s">
        <v>241</v>
      </c>
      <c r="C800" s="222">
        <v>2000</v>
      </c>
      <c r="D800" s="227">
        <v>0</v>
      </c>
      <c r="E800" s="224">
        <f t="shared" si="15"/>
        <v>0</v>
      </c>
    </row>
    <row r="801" spans="1:5" hidden="1">
      <c r="A801" s="361">
        <v>4750</v>
      </c>
      <c r="B801" s="221" t="s">
        <v>241</v>
      </c>
      <c r="C801" s="222">
        <v>1000</v>
      </c>
      <c r="D801" s="227">
        <v>170</v>
      </c>
      <c r="E801" s="224">
        <f t="shared" si="15"/>
        <v>17</v>
      </c>
    </row>
    <row r="802" spans="1:5" hidden="1">
      <c r="A802" s="369">
        <v>4750</v>
      </c>
      <c r="B802" s="221" t="s">
        <v>241</v>
      </c>
      <c r="C802" s="222">
        <v>3106</v>
      </c>
      <c r="D802" s="227">
        <v>1396.4</v>
      </c>
      <c r="E802" s="224">
        <f t="shared" si="15"/>
        <v>44.95814552479073</v>
      </c>
    </row>
    <row r="803" spans="1:5" hidden="1">
      <c r="A803" s="369">
        <v>4750</v>
      </c>
      <c r="B803" s="221" t="s">
        <v>241</v>
      </c>
      <c r="C803" s="222">
        <v>1517</v>
      </c>
      <c r="D803" s="227">
        <v>835.64</v>
      </c>
      <c r="E803" s="224">
        <f t="shared" si="15"/>
        <v>55.08503625576796</v>
      </c>
    </row>
    <row r="804" spans="1:5" hidden="1">
      <c r="A804" s="369">
        <v>4750</v>
      </c>
      <c r="B804" s="221" t="s">
        <v>241</v>
      </c>
      <c r="C804" s="222">
        <v>1000</v>
      </c>
      <c r="D804" s="227">
        <v>546.98</v>
      </c>
      <c r="E804" s="224">
        <f t="shared" si="15"/>
        <v>54.698</v>
      </c>
    </row>
    <row r="805" spans="1:5" hidden="1">
      <c r="A805" s="369">
        <v>4750</v>
      </c>
      <c r="B805" s="221" t="s">
        <v>241</v>
      </c>
      <c r="C805" s="222">
        <v>1000</v>
      </c>
      <c r="D805" s="227">
        <v>952.8</v>
      </c>
      <c r="E805" s="224">
        <f t="shared" si="15"/>
        <v>95.28</v>
      </c>
    </row>
    <row r="806" spans="1:5" hidden="1">
      <c r="A806" s="369">
        <v>4758</v>
      </c>
      <c r="B806" s="221" t="s">
        <v>241</v>
      </c>
      <c r="C806" s="222">
        <v>4990</v>
      </c>
      <c r="D806" s="227">
        <v>0</v>
      </c>
      <c r="E806" s="224">
        <f t="shared" si="15"/>
        <v>0</v>
      </c>
    </row>
    <row r="807" spans="1:5" hidden="1">
      <c r="A807" s="369">
        <v>4759</v>
      </c>
      <c r="B807" s="221" t="s">
        <v>241</v>
      </c>
      <c r="C807" s="222">
        <v>294</v>
      </c>
      <c r="D807" s="227">
        <v>0</v>
      </c>
      <c r="E807" s="224">
        <f t="shared" si="15"/>
        <v>0</v>
      </c>
    </row>
    <row r="808" spans="1:5" hidden="1">
      <c r="A808" s="369">
        <v>4810</v>
      </c>
      <c r="B808" s="221" t="s">
        <v>220</v>
      </c>
      <c r="C808" s="222">
        <v>40758</v>
      </c>
      <c r="D808" s="227">
        <v>0</v>
      </c>
      <c r="E808" s="224">
        <f t="shared" si="15"/>
        <v>0</v>
      </c>
    </row>
    <row r="809" spans="1:5" hidden="1">
      <c r="A809" s="369">
        <v>4810</v>
      </c>
      <c r="B809" s="221" t="s">
        <v>220</v>
      </c>
      <c r="C809" s="222">
        <v>50000</v>
      </c>
      <c r="D809" s="227">
        <v>0</v>
      </c>
      <c r="E809" s="224">
        <f t="shared" si="15"/>
        <v>0</v>
      </c>
    </row>
    <row r="810" spans="1:5" hidden="1">
      <c r="A810" s="291">
        <v>4810</v>
      </c>
      <c r="B810" s="248" t="s">
        <v>220</v>
      </c>
      <c r="C810" s="222">
        <v>50000</v>
      </c>
      <c r="D810" s="227">
        <v>0</v>
      </c>
      <c r="E810" s="224">
        <f t="shared" si="15"/>
        <v>0</v>
      </c>
    </row>
    <row r="811" spans="1:5" hidden="1">
      <c r="A811" s="369">
        <v>6050</v>
      </c>
      <c r="B811" s="221" t="s">
        <v>242</v>
      </c>
      <c r="C811" s="222">
        <v>470193</v>
      </c>
      <c r="D811" s="227">
        <v>0</v>
      </c>
      <c r="E811" s="224">
        <f t="shared" si="15"/>
        <v>0</v>
      </c>
    </row>
    <row r="812" spans="1:5" hidden="1">
      <c r="A812" s="369">
        <v>6050</v>
      </c>
      <c r="B812" s="221" t="s">
        <v>242</v>
      </c>
      <c r="C812" s="222">
        <v>846366</v>
      </c>
      <c r="D812" s="227">
        <v>0</v>
      </c>
      <c r="E812" s="224">
        <f t="shared" si="15"/>
        <v>0</v>
      </c>
    </row>
    <row r="813" spans="1:5" hidden="1">
      <c r="A813" s="379">
        <v>6050</v>
      </c>
      <c r="B813" s="221" t="s">
        <v>242</v>
      </c>
      <c r="C813" s="381">
        <v>590000</v>
      </c>
      <c r="D813" s="382">
        <v>11025.07</v>
      </c>
      <c r="E813" s="224">
        <f t="shared" si="15"/>
        <v>1.8686559322033898</v>
      </c>
    </row>
    <row r="814" spans="1:5" hidden="1">
      <c r="A814" s="267">
        <v>6050</v>
      </c>
      <c r="B814" s="221" t="s">
        <v>242</v>
      </c>
      <c r="C814" s="222">
        <v>874175</v>
      </c>
      <c r="D814" s="227">
        <v>295501.96999999997</v>
      </c>
      <c r="E814" s="224">
        <f t="shared" si="15"/>
        <v>33.803525609860721</v>
      </c>
    </row>
    <row r="815" spans="1:5" hidden="1">
      <c r="A815" s="369">
        <v>6060</v>
      </c>
      <c r="B815" s="221" t="s">
        <v>243</v>
      </c>
      <c r="C815" s="222">
        <v>60000</v>
      </c>
      <c r="D815" s="227">
        <v>0</v>
      </c>
      <c r="E815" s="224">
        <f t="shared" si="15"/>
        <v>0</v>
      </c>
    </row>
    <row r="816" spans="1:5" hidden="1">
      <c r="A816" s="369">
        <v>6060</v>
      </c>
      <c r="B816" s="221" t="s">
        <v>243</v>
      </c>
      <c r="C816" s="222">
        <v>4670</v>
      </c>
      <c r="D816" s="227">
        <v>4670</v>
      </c>
      <c r="E816" s="224">
        <f t="shared" si="15"/>
        <v>100</v>
      </c>
    </row>
    <row r="817" spans="1:5" hidden="1">
      <c r="A817" s="369">
        <v>6060</v>
      </c>
      <c r="B817" s="221" t="s">
        <v>243</v>
      </c>
      <c r="C817" s="222">
        <v>18300</v>
      </c>
      <c r="D817" s="227">
        <v>0</v>
      </c>
      <c r="E817" s="224">
        <f t="shared" si="15"/>
        <v>0</v>
      </c>
    </row>
    <row r="818" spans="1:5" hidden="1">
      <c r="A818" s="369">
        <v>6060</v>
      </c>
      <c r="B818" s="221" t="s">
        <v>243</v>
      </c>
      <c r="C818" s="222">
        <v>7800</v>
      </c>
      <c r="D818" s="227">
        <v>7800</v>
      </c>
      <c r="E818" s="224">
        <f t="shared" si="15"/>
        <v>100</v>
      </c>
    </row>
    <row r="819" spans="1:5" hidden="1">
      <c r="A819" s="369">
        <v>6068</v>
      </c>
      <c r="B819" s="248" t="s">
        <v>243</v>
      </c>
      <c r="C819" s="222">
        <v>8500</v>
      </c>
      <c r="D819" s="227">
        <v>0</v>
      </c>
      <c r="E819" s="224">
        <f t="shared" si="15"/>
        <v>0</v>
      </c>
    </row>
    <row r="820" spans="1:5" hidden="1">
      <c r="A820" s="369">
        <v>6069</v>
      </c>
      <c r="B820" s="248" t="s">
        <v>243</v>
      </c>
      <c r="C820" s="222">
        <v>500</v>
      </c>
      <c r="D820" s="227">
        <v>0</v>
      </c>
      <c r="E820" s="224">
        <f t="shared" si="15"/>
        <v>0</v>
      </c>
    </row>
    <row r="821" spans="1:5" hidden="1">
      <c r="A821" s="267">
        <v>6170</v>
      </c>
      <c r="B821" s="280" t="s">
        <v>341</v>
      </c>
      <c r="C821" s="222">
        <v>60000</v>
      </c>
      <c r="D821" s="227">
        <v>60000</v>
      </c>
      <c r="E821" s="224">
        <f t="shared" si="15"/>
        <v>100</v>
      </c>
    </row>
    <row r="822" spans="1:5" ht="33.75" hidden="1">
      <c r="A822" s="369">
        <v>6650</v>
      </c>
      <c r="B822" s="231" t="s">
        <v>253</v>
      </c>
      <c r="C822" s="222">
        <v>4255</v>
      </c>
      <c r="D822" s="227">
        <v>4255</v>
      </c>
      <c r="E822" s="224">
        <f t="shared" si="15"/>
        <v>100</v>
      </c>
    </row>
    <row r="823" spans="1:5" hidden="1">
      <c r="A823" s="361">
        <v>8070</v>
      </c>
      <c r="B823" s="221" t="s">
        <v>267</v>
      </c>
      <c r="C823" s="222">
        <v>260000</v>
      </c>
      <c r="D823" s="227">
        <v>119531.1</v>
      </c>
      <c r="E823" s="224">
        <f t="shared" si="15"/>
        <v>45.973500000000001</v>
      </c>
    </row>
    <row r="824" spans="1:5" hidden="1">
      <c r="A824" s="361">
        <v>8110</v>
      </c>
      <c r="B824" s="221" t="s">
        <v>268</v>
      </c>
      <c r="C824" s="222">
        <v>83158</v>
      </c>
      <c r="D824" s="227">
        <v>83158.25</v>
      </c>
      <c r="E824" s="224">
        <f t="shared" si="15"/>
        <v>100.00030063253085</v>
      </c>
    </row>
    <row r="825" spans="1:5" hidden="1">
      <c r="C825" s="30">
        <f>SUM(C8:C98)</f>
        <v>41145305</v>
      </c>
    </row>
    <row r="826" spans="1:5" hidden="1">
      <c r="C826" s="387">
        <v>41145305</v>
      </c>
    </row>
    <row r="827" spans="1:5" hidden="1">
      <c r="C827" s="30">
        <f>C825-C826</f>
        <v>0</v>
      </c>
    </row>
  </sheetData>
  <sortState ref="A2:E842">
    <sortCondition ref="A1"/>
  </sortState>
  <mergeCells count="6">
    <mergeCell ref="D1:E1"/>
    <mergeCell ref="B8:B9"/>
    <mergeCell ref="A99:B99"/>
    <mergeCell ref="A4:E4"/>
    <mergeCell ref="A2:E2"/>
    <mergeCell ref="A3:E3"/>
  </mergeCells>
  <pageMargins left="0.7" right="0.7" top="0.75" bottom="0.75" header="0.3" footer="0.3"/>
  <pageSetup paperSize="9" orientation="portrait" r:id="rId1"/>
  <headerFooter>
    <oddFooter>&amp;C&amp;"Times New (W1),Normalny"Załącznik Nr 23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E196"/>
  <sheetViews>
    <sheetView workbookViewId="0">
      <selection activeCell="D35" sqref="D35:D37"/>
    </sheetView>
  </sheetViews>
  <sheetFormatPr defaultRowHeight="12.75"/>
  <cols>
    <col min="1" max="1" width="7.140625" customWidth="1"/>
    <col min="2" max="2" width="46.7109375" customWidth="1"/>
    <col min="3" max="3" width="13.42578125" customWidth="1"/>
    <col min="4" max="4" width="16.5703125" customWidth="1"/>
    <col min="5" max="5" width="6.85546875" customWidth="1"/>
  </cols>
  <sheetData>
    <row r="1" spans="1:5">
      <c r="A1" s="141"/>
      <c r="B1" s="141"/>
      <c r="C1" s="141"/>
      <c r="D1" s="141"/>
    </row>
    <row r="2" spans="1:5">
      <c r="A2" s="63" t="s">
        <v>458</v>
      </c>
      <c r="B2" s="63" t="s">
        <v>358</v>
      </c>
      <c r="C2" s="63" t="s">
        <v>154</v>
      </c>
      <c r="D2" s="63" t="s">
        <v>144</v>
      </c>
      <c r="E2" s="539" t="s">
        <v>155</v>
      </c>
    </row>
    <row r="3" spans="1:5" s="393" customFormat="1" ht="10.5">
      <c r="A3" s="561">
        <v>1</v>
      </c>
      <c r="B3" s="561">
        <v>2</v>
      </c>
      <c r="C3" s="561">
        <v>3</v>
      </c>
      <c r="D3" s="561">
        <v>4</v>
      </c>
      <c r="E3" s="655">
        <v>5</v>
      </c>
    </row>
    <row r="4" spans="1:5">
      <c r="A4" s="632" t="s">
        <v>31</v>
      </c>
      <c r="B4" s="248" t="s">
        <v>30</v>
      </c>
      <c r="C4" s="641">
        <v>4151439</v>
      </c>
      <c r="D4" s="642">
        <v>1929235</v>
      </c>
      <c r="E4" s="654">
        <f>D4/C4*100</f>
        <v>46.471476516937862</v>
      </c>
    </row>
    <row r="5" spans="1:5">
      <c r="A5" s="632" t="s">
        <v>67</v>
      </c>
      <c r="B5" s="248" t="s">
        <v>68</v>
      </c>
      <c r="C5" s="641">
        <v>150000</v>
      </c>
      <c r="D5" s="642">
        <v>95981.33</v>
      </c>
      <c r="E5" s="654">
        <f t="shared" ref="E5:E29" si="0">D5/C5*100</f>
        <v>63.987553333333338</v>
      </c>
    </row>
    <row r="6" spans="1:5">
      <c r="A6" s="291" t="s">
        <v>33</v>
      </c>
      <c r="B6" s="643" t="s">
        <v>34</v>
      </c>
      <c r="C6" s="641">
        <v>700000</v>
      </c>
      <c r="D6" s="642">
        <v>446975.1</v>
      </c>
      <c r="E6" s="654">
        <f t="shared" si="0"/>
        <v>63.853585714285707</v>
      </c>
    </row>
    <row r="7" spans="1:5" ht="22.5">
      <c r="A7" s="632" t="s">
        <v>35</v>
      </c>
      <c r="B7" s="436" t="s">
        <v>38</v>
      </c>
      <c r="C7" s="641">
        <v>17207</v>
      </c>
      <c r="D7" s="642">
        <v>41744.39</v>
      </c>
      <c r="E7" s="654">
        <f t="shared" si="0"/>
        <v>242.60120881036786</v>
      </c>
    </row>
    <row r="8" spans="1:5" ht="22.5">
      <c r="A8" s="291" t="s">
        <v>312</v>
      </c>
      <c r="B8" s="643" t="s">
        <v>313</v>
      </c>
      <c r="C8" s="641">
        <v>139000</v>
      </c>
      <c r="D8" s="642">
        <v>141973.85999999999</v>
      </c>
      <c r="E8" s="654">
        <f t="shared" si="0"/>
        <v>102.13946762589927</v>
      </c>
    </row>
    <row r="9" spans="1:5">
      <c r="A9" s="632" t="s">
        <v>146</v>
      </c>
      <c r="B9" s="436" t="s">
        <v>194</v>
      </c>
      <c r="C9" s="641">
        <v>6948</v>
      </c>
      <c r="D9" s="642">
        <v>5215.8999999999996</v>
      </c>
      <c r="E9" s="654">
        <f t="shared" si="0"/>
        <v>75.070523891767408</v>
      </c>
    </row>
    <row r="10" spans="1:5" ht="22.5">
      <c r="A10" s="632" t="s">
        <v>173</v>
      </c>
      <c r="B10" s="436" t="s">
        <v>189</v>
      </c>
      <c r="C10" s="641">
        <v>2897</v>
      </c>
      <c r="D10" s="642">
        <v>2540.84</v>
      </c>
      <c r="E10" s="654">
        <f t="shared" si="0"/>
        <v>87.705902657921996</v>
      </c>
    </row>
    <row r="11" spans="1:5">
      <c r="A11" s="632" t="s">
        <v>52</v>
      </c>
      <c r="B11" s="248" t="s">
        <v>53</v>
      </c>
      <c r="C11" s="641">
        <f>SUM(C106:C114)</f>
        <v>19478</v>
      </c>
      <c r="D11" s="642">
        <f>SUM(D106:D114)</f>
        <v>14284.4</v>
      </c>
      <c r="E11" s="654">
        <f t="shared" si="0"/>
        <v>73.336071465242838</v>
      </c>
    </row>
    <row r="12" spans="1:5" ht="33.75">
      <c r="A12" s="632" t="s">
        <v>36</v>
      </c>
      <c r="B12" s="436" t="s">
        <v>209</v>
      </c>
      <c r="C12" s="641">
        <f>SUM(C115:C132)</f>
        <v>212756</v>
      </c>
      <c r="D12" s="642">
        <f>SUM(D115:D132)</f>
        <v>166500.85</v>
      </c>
      <c r="E12" s="654">
        <f t="shared" si="0"/>
        <v>78.259062024102732</v>
      </c>
    </row>
    <row r="13" spans="1:5" ht="22.5">
      <c r="A13" s="656" t="s">
        <v>37</v>
      </c>
      <c r="B13" s="657" t="s">
        <v>75</v>
      </c>
      <c r="C13" s="658">
        <f>C133+C134</f>
        <v>1927379</v>
      </c>
      <c r="D13" s="659">
        <f>D133+D134</f>
        <v>1570856.1099999999</v>
      </c>
      <c r="E13" s="654">
        <f t="shared" si="0"/>
        <v>81.502190799007352</v>
      </c>
    </row>
    <row r="14" spans="1:5">
      <c r="A14" s="656" t="s">
        <v>70</v>
      </c>
      <c r="B14" s="657" t="s">
        <v>72</v>
      </c>
      <c r="C14" s="658">
        <f>SUM(C135:C143)</f>
        <v>235668</v>
      </c>
      <c r="D14" s="659">
        <f>SUM(D135:D143)</f>
        <v>167772.34</v>
      </c>
      <c r="E14" s="654">
        <f t="shared" si="0"/>
        <v>71.190123393927053</v>
      </c>
    </row>
    <row r="15" spans="1:5">
      <c r="A15" s="656" t="s">
        <v>444</v>
      </c>
      <c r="B15" s="657" t="s">
        <v>450</v>
      </c>
      <c r="C15" s="658"/>
      <c r="D15" s="659">
        <v>169.33</v>
      </c>
      <c r="E15" s="654"/>
    </row>
    <row r="16" spans="1:5" ht="22.5">
      <c r="A16" s="632" t="s">
        <v>446</v>
      </c>
      <c r="B16" s="436" t="s">
        <v>451</v>
      </c>
      <c r="C16" s="644">
        <f>C145+C146</f>
        <v>0</v>
      </c>
      <c r="D16" s="642">
        <f>D145+D146</f>
        <v>1511.2</v>
      </c>
      <c r="E16" s="654"/>
    </row>
    <row r="17" spans="1:5">
      <c r="A17" s="632" t="s">
        <v>442</v>
      </c>
      <c r="B17" s="436" t="s">
        <v>448</v>
      </c>
      <c r="C17" s="641">
        <f>C147+C148+C149</f>
        <v>0</v>
      </c>
      <c r="D17" s="642">
        <f>D147+D148+D149</f>
        <v>236.91000000000003</v>
      </c>
      <c r="E17" s="654"/>
    </row>
    <row r="18" spans="1:5">
      <c r="A18" s="632" t="s">
        <v>64</v>
      </c>
      <c r="B18" s="436" t="s">
        <v>74</v>
      </c>
      <c r="C18" s="641">
        <f>SUM(C150:C171)</f>
        <v>56096</v>
      </c>
      <c r="D18" s="642">
        <f>SUM(D150:D171)</f>
        <v>95722.460000000021</v>
      </c>
      <c r="E18" s="654">
        <f t="shared" si="0"/>
        <v>170.64043782087853</v>
      </c>
    </row>
    <row r="19" spans="1:5">
      <c r="A19" s="632" t="s">
        <v>116</v>
      </c>
      <c r="B19" s="436" t="s">
        <v>188</v>
      </c>
      <c r="C19" s="641">
        <f>SUM(C172:C176)</f>
        <v>1249</v>
      </c>
      <c r="D19" s="642">
        <f>SUM(D172:D176)</f>
        <v>1314.8600000000001</v>
      </c>
      <c r="E19" s="654">
        <f t="shared" si="0"/>
        <v>105.27301841473179</v>
      </c>
    </row>
    <row r="20" spans="1:5">
      <c r="A20" s="632" t="s">
        <v>71</v>
      </c>
      <c r="B20" s="436" t="s">
        <v>73</v>
      </c>
      <c r="C20" s="641">
        <f>SUM(C177:C194)</f>
        <v>51185</v>
      </c>
      <c r="D20" s="642">
        <f>SUM(D177:D194)</f>
        <v>50836.140000000007</v>
      </c>
      <c r="E20" s="654">
        <f t="shared" si="0"/>
        <v>99.318433134707448</v>
      </c>
    </row>
    <row r="21" spans="1:5" ht="24" customHeight="1">
      <c r="A21" s="631">
        <v>2360</v>
      </c>
      <c r="B21" s="436" t="s">
        <v>148</v>
      </c>
      <c r="C21" s="641">
        <f>SUM(C79:C83)</f>
        <v>100000</v>
      </c>
      <c r="D21" s="642">
        <f>SUM(D79:D83)</f>
        <v>68737.539999999979</v>
      </c>
      <c r="E21" s="654">
        <f t="shared" si="0"/>
        <v>68.737539999999981</v>
      </c>
    </row>
    <row r="22" spans="1:5" ht="24.75" customHeight="1">
      <c r="A22" s="631">
        <v>2460</v>
      </c>
      <c r="B22" s="436" t="s">
        <v>83</v>
      </c>
      <c r="C22" s="641">
        <v>247000</v>
      </c>
      <c r="D22" s="642">
        <v>119746.74</v>
      </c>
      <c r="E22" s="654">
        <f t="shared" si="0"/>
        <v>48.48046153846154</v>
      </c>
    </row>
    <row r="23" spans="1:5" ht="22.5">
      <c r="A23" s="631">
        <v>2707</v>
      </c>
      <c r="B23" s="257" t="s">
        <v>449</v>
      </c>
      <c r="C23" s="641">
        <v>0</v>
      </c>
      <c r="D23" s="642">
        <v>285.12</v>
      </c>
      <c r="E23" s="654"/>
    </row>
    <row r="24" spans="1:5" ht="22.5">
      <c r="A24" s="632">
        <v>2708</v>
      </c>
      <c r="B24" s="436" t="s">
        <v>314</v>
      </c>
      <c r="C24" s="641">
        <v>14844</v>
      </c>
      <c r="D24" s="642">
        <v>0</v>
      </c>
      <c r="E24" s="654">
        <f t="shared" si="0"/>
        <v>0</v>
      </c>
    </row>
    <row r="25" spans="1:5" ht="22.5">
      <c r="A25" s="631">
        <v>2709</v>
      </c>
      <c r="B25" s="257" t="s">
        <v>449</v>
      </c>
      <c r="C25" s="641">
        <v>0</v>
      </c>
      <c r="D25" s="642">
        <v>6973.86</v>
      </c>
      <c r="E25" s="654"/>
    </row>
    <row r="26" spans="1:5" ht="33.75">
      <c r="A26" s="632">
        <v>2710</v>
      </c>
      <c r="B26" s="436" t="s">
        <v>318</v>
      </c>
      <c r="C26" s="641">
        <v>700</v>
      </c>
      <c r="D26" s="642">
        <v>700</v>
      </c>
      <c r="E26" s="654">
        <f t="shared" si="0"/>
        <v>100</v>
      </c>
    </row>
    <row r="27" spans="1:5" ht="22.5">
      <c r="A27" s="632">
        <v>2910</v>
      </c>
      <c r="B27" s="436" t="s">
        <v>151</v>
      </c>
      <c r="C27" s="641">
        <v>4139</v>
      </c>
      <c r="D27" s="642">
        <f>5021.1+D195</f>
        <v>5544.84</v>
      </c>
      <c r="E27" s="654">
        <f t="shared" si="0"/>
        <v>133.96569219618266</v>
      </c>
    </row>
    <row r="28" spans="1:5" ht="33.75">
      <c r="A28" s="631">
        <v>8538</v>
      </c>
      <c r="B28" s="436" t="s">
        <v>309</v>
      </c>
      <c r="C28" s="641">
        <v>63375</v>
      </c>
      <c r="D28" s="642">
        <v>14607.2</v>
      </c>
      <c r="E28" s="654">
        <f t="shared" si="0"/>
        <v>23.048836291913215</v>
      </c>
    </row>
    <row r="29" spans="1:5">
      <c r="A29" s="773" t="s">
        <v>140</v>
      </c>
      <c r="B29" s="773"/>
      <c r="C29" s="641">
        <f>SUM(C4:C28)</f>
        <v>8101360</v>
      </c>
      <c r="D29" s="642">
        <f>SUM(D4:D28)</f>
        <v>4949466.32</v>
      </c>
      <c r="E29" s="654">
        <f t="shared" si="0"/>
        <v>61.094264666673247</v>
      </c>
    </row>
    <row r="30" spans="1:5">
      <c r="A30" s="385"/>
      <c r="B30" s="645"/>
      <c r="C30" s="646"/>
      <c r="D30" s="647"/>
    </row>
    <row r="31" spans="1:5">
      <c r="A31" s="63" t="s">
        <v>458</v>
      </c>
      <c r="B31" s="63" t="s">
        <v>358</v>
      </c>
      <c r="C31" s="63" t="s">
        <v>154</v>
      </c>
      <c r="D31" s="63" t="s">
        <v>144</v>
      </c>
      <c r="E31" s="539" t="s">
        <v>155</v>
      </c>
    </row>
    <row r="32" spans="1:5" s="393" customFormat="1" ht="10.5">
      <c r="A32" s="561">
        <v>1</v>
      </c>
      <c r="B32" s="561">
        <v>2</v>
      </c>
      <c r="C32" s="561">
        <v>3</v>
      </c>
      <c r="D32" s="561">
        <v>4</v>
      </c>
      <c r="E32" s="655">
        <v>5</v>
      </c>
    </row>
    <row r="33" spans="1:5" ht="22.5">
      <c r="A33" s="632">
        <v>2008</v>
      </c>
      <c r="B33" s="436" t="s">
        <v>457</v>
      </c>
      <c r="C33" s="641">
        <v>843306</v>
      </c>
      <c r="D33" s="642">
        <v>778565.15</v>
      </c>
      <c r="E33" s="654">
        <f>D33/C33*100</f>
        <v>92.322970546871488</v>
      </c>
    </row>
    <row r="34" spans="1:5" ht="22.5">
      <c r="A34" s="632">
        <v>2009</v>
      </c>
      <c r="B34" s="436" t="s">
        <v>457</v>
      </c>
      <c r="C34" s="641">
        <v>45801</v>
      </c>
      <c r="D34" s="642">
        <v>44958.59</v>
      </c>
      <c r="E34" s="654">
        <f t="shared" ref="E34:E51" si="1">D34/C34*100</f>
        <v>98.160717014912336</v>
      </c>
    </row>
    <row r="35" spans="1:5" ht="22.5">
      <c r="A35" s="631">
        <v>2110</v>
      </c>
      <c r="B35" s="436" t="s">
        <v>80</v>
      </c>
      <c r="C35" s="641">
        <f>SUM(C57:C68)</f>
        <v>5977609</v>
      </c>
      <c r="D35" s="642">
        <f>SUM(D57:D68)</f>
        <v>3371874</v>
      </c>
      <c r="E35" s="654">
        <f t="shared" si="1"/>
        <v>56.408406772674489</v>
      </c>
    </row>
    <row r="36" spans="1:5" ht="33.75">
      <c r="A36" s="631">
        <v>2120</v>
      </c>
      <c r="B36" s="436" t="s">
        <v>39</v>
      </c>
      <c r="C36" s="641">
        <v>2000</v>
      </c>
      <c r="D36" s="642">
        <v>0</v>
      </c>
      <c r="E36" s="654">
        <f t="shared" si="1"/>
        <v>0</v>
      </c>
    </row>
    <row r="37" spans="1:5" ht="22.5">
      <c r="A37" s="631">
        <v>2130</v>
      </c>
      <c r="B37" s="436" t="s">
        <v>186</v>
      </c>
      <c r="C37" s="641">
        <f>SUM(C70:C73)</f>
        <v>1983540</v>
      </c>
      <c r="D37" s="642">
        <f>SUM(D70:D73)</f>
        <v>938555</v>
      </c>
      <c r="E37" s="654">
        <f t="shared" si="1"/>
        <v>47.317170311665002</v>
      </c>
    </row>
    <row r="38" spans="1:5" ht="24" customHeight="1">
      <c r="A38" s="631">
        <v>2310</v>
      </c>
      <c r="B38" s="257" t="s">
        <v>150</v>
      </c>
      <c r="C38" s="641">
        <f>SUM(C74:C76)</f>
        <v>29789</v>
      </c>
      <c r="D38" s="642">
        <f>SUM(D74:D76)</f>
        <v>27288.68</v>
      </c>
      <c r="E38" s="654">
        <f t="shared" si="1"/>
        <v>91.606566182147773</v>
      </c>
    </row>
    <row r="39" spans="1:5" ht="21.75" customHeight="1">
      <c r="A39" s="631">
        <v>2320</v>
      </c>
      <c r="B39" s="436" t="s">
        <v>152</v>
      </c>
      <c r="C39" s="641">
        <f>SUM(C77:C78)</f>
        <v>1296967</v>
      </c>
      <c r="D39" s="642">
        <f>SUM(D77:D78)</f>
        <v>739564.70000000007</v>
      </c>
      <c r="E39" s="654">
        <f t="shared" si="1"/>
        <v>57.022630490983971</v>
      </c>
    </row>
    <row r="40" spans="1:5" ht="22.5">
      <c r="A40" s="632">
        <v>2440</v>
      </c>
      <c r="B40" s="436" t="s">
        <v>90</v>
      </c>
      <c r="C40" s="641">
        <f>SUM(C84:C87)</f>
        <v>880456</v>
      </c>
      <c r="D40" s="642">
        <f>SUM(D84:D87)</f>
        <v>400728.3</v>
      </c>
      <c r="E40" s="654">
        <f t="shared" si="1"/>
        <v>45.513722434738362</v>
      </c>
    </row>
    <row r="41" spans="1:5" ht="36" customHeight="1">
      <c r="A41" s="656">
        <v>6260</v>
      </c>
      <c r="B41" s="657" t="s">
        <v>319</v>
      </c>
      <c r="C41" s="658">
        <v>150000</v>
      </c>
      <c r="D41" s="659">
        <v>150000</v>
      </c>
      <c r="E41" s="654">
        <f t="shared" si="1"/>
        <v>100</v>
      </c>
    </row>
    <row r="42" spans="1:5">
      <c r="A42" s="890" t="s">
        <v>140</v>
      </c>
      <c r="B42" s="890"/>
      <c r="C42" s="648">
        <f>SUM(C33:C41)</f>
        <v>11209468</v>
      </c>
      <c r="D42" s="649">
        <f>SUM(D33:D41)</f>
        <v>6451534.4199999999</v>
      </c>
      <c r="E42" s="654">
        <f t="shared" si="1"/>
        <v>57.554331927260058</v>
      </c>
    </row>
    <row r="43" spans="1:5">
      <c r="A43" s="141"/>
      <c r="B43" s="141"/>
      <c r="C43" s="141"/>
      <c r="D43" s="141"/>
      <c r="E43" s="661"/>
    </row>
    <row r="44" spans="1:5">
      <c r="A44" s="63" t="s">
        <v>458</v>
      </c>
      <c r="B44" s="63" t="s">
        <v>358</v>
      </c>
      <c r="C44" s="63" t="s">
        <v>154</v>
      </c>
      <c r="D44" s="63" t="s">
        <v>144</v>
      </c>
      <c r="E44" s="539" t="s">
        <v>155</v>
      </c>
    </row>
    <row r="45" spans="1:5" s="393" customFormat="1" ht="10.5">
      <c r="A45" s="561">
        <v>1</v>
      </c>
      <c r="B45" s="561">
        <v>2</v>
      </c>
      <c r="C45" s="561">
        <v>3</v>
      </c>
      <c r="D45" s="561">
        <v>4</v>
      </c>
      <c r="E45" s="655">
        <v>5</v>
      </c>
    </row>
    <row r="46" spans="1:5">
      <c r="A46" s="631">
        <v>2920</v>
      </c>
      <c r="B46" s="248" t="s">
        <v>32</v>
      </c>
      <c r="C46" s="641">
        <f>C94+C95+C96</f>
        <v>21098724</v>
      </c>
      <c r="D46" s="642">
        <f>D94+D95+D96</f>
        <v>12310406</v>
      </c>
      <c r="E46" s="654">
        <f t="shared" si="1"/>
        <v>58.34668485165264</v>
      </c>
    </row>
    <row r="47" spans="1:5">
      <c r="A47" s="141"/>
      <c r="B47" s="141"/>
      <c r="C47" s="141"/>
      <c r="D47" s="141"/>
      <c r="E47" s="661"/>
    </row>
    <row r="48" spans="1:5">
      <c r="A48" s="141"/>
      <c r="B48" s="141"/>
      <c r="C48" s="650">
        <f>C29+C42+C46</f>
        <v>40409552</v>
      </c>
      <c r="D48" s="651">
        <f>D29+D42+D46</f>
        <v>23711406.740000002</v>
      </c>
      <c r="E48" s="661"/>
    </row>
    <row r="49" spans="1:5" hidden="1">
      <c r="A49" s="630"/>
      <c r="B49" s="634"/>
      <c r="C49" s="597"/>
      <c r="D49" s="638"/>
      <c r="E49" s="660" t="e">
        <f t="shared" si="1"/>
        <v>#DIV/0!</v>
      </c>
    </row>
    <row r="50" spans="1:5" hidden="1">
      <c r="A50" s="630"/>
      <c r="B50" s="634"/>
      <c r="C50" s="597"/>
      <c r="D50" s="638"/>
      <c r="E50" s="654" t="e">
        <f t="shared" si="1"/>
        <v>#DIV/0!</v>
      </c>
    </row>
    <row r="51" spans="1:5" hidden="1">
      <c r="A51" s="630"/>
      <c r="B51" s="634"/>
      <c r="C51" s="597"/>
      <c r="D51" s="638"/>
      <c r="E51" s="654" t="e">
        <f t="shared" si="1"/>
        <v>#DIV/0!</v>
      </c>
    </row>
    <row r="52" spans="1:5" hidden="1">
      <c r="A52" s="630"/>
      <c r="B52" s="634"/>
      <c r="C52" s="597"/>
      <c r="D52" s="638"/>
    </row>
    <row r="53" spans="1:5" hidden="1">
      <c r="A53" s="630"/>
      <c r="B53" s="634"/>
      <c r="C53" s="597"/>
      <c r="D53" s="638"/>
    </row>
    <row r="54" spans="1:5" hidden="1">
      <c r="A54" s="630"/>
      <c r="B54" s="634"/>
      <c r="C54" s="597"/>
      <c r="D54" s="638"/>
    </row>
    <row r="55" spans="1:5" hidden="1">
      <c r="A55" s="575"/>
      <c r="B55" s="424"/>
      <c r="C55" s="574"/>
      <c r="D55" s="606"/>
    </row>
    <row r="56" spans="1:5" hidden="1">
      <c r="A56" s="575"/>
      <c r="B56" s="424"/>
      <c r="C56" s="574"/>
      <c r="D56" s="606"/>
    </row>
    <row r="57" spans="1:5" ht="22.5" hidden="1">
      <c r="A57" s="580">
        <v>2110</v>
      </c>
      <c r="B57" s="424" t="s">
        <v>80</v>
      </c>
      <c r="C57" s="574">
        <v>88000</v>
      </c>
      <c r="D57" s="606">
        <v>47258</v>
      </c>
    </row>
    <row r="58" spans="1:5" ht="22.5" hidden="1">
      <c r="A58" s="580">
        <v>2110</v>
      </c>
      <c r="B58" s="424" t="s">
        <v>80</v>
      </c>
      <c r="C58" s="574">
        <v>61000</v>
      </c>
      <c r="D58" s="606">
        <v>35581</v>
      </c>
    </row>
    <row r="59" spans="1:5" ht="22.5" hidden="1">
      <c r="A59" s="580">
        <v>2110</v>
      </c>
      <c r="B59" s="424" t="s">
        <v>80</v>
      </c>
      <c r="C59" s="574">
        <v>74000</v>
      </c>
      <c r="D59" s="606">
        <v>39740</v>
      </c>
    </row>
    <row r="60" spans="1:5" ht="22.5" hidden="1">
      <c r="A60" s="580">
        <v>2110</v>
      </c>
      <c r="B60" s="424" t="s">
        <v>80</v>
      </c>
      <c r="C60" s="574">
        <v>19000</v>
      </c>
      <c r="D60" s="606">
        <v>10202</v>
      </c>
    </row>
    <row r="61" spans="1:5" ht="22.5" hidden="1">
      <c r="A61" s="575">
        <v>2110</v>
      </c>
      <c r="B61" s="424" t="s">
        <v>80</v>
      </c>
      <c r="C61" s="574">
        <v>248600</v>
      </c>
      <c r="D61" s="606">
        <v>133398</v>
      </c>
    </row>
    <row r="62" spans="1:5" ht="22.5" hidden="1">
      <c r="A62" s="580">
        <v>2110</v>
      </c>
      <c r="B62" s="424" t="s">
        <v>80</v>
      </c>
      <c r="C62" s="574">
        <v>101500</v>
      </c>
      <c r="D62" s="606">
        <v>54680</v>
      </c>
    </row>
    <row r="63" spans="1:5" ht="22.5" hidden="1">
      <c r="A63" s="580">
        <v>2110</v>
      </c>
      <c r="B63" s="424" t="s">
        <v>80</v>
      </c>
      <c r="C63" s="574">
        <v>16000</v>
      </c>
      <c r="D63" s="606">
        <v>16000</v>
      </c>
    </row>
    <row r="64" spans="1:5" ht="22.5" hidden="1">
      <c r="A64" s="580">
        <v>2110</v>
      </c>
      <c r="B64" s="424" t="s">
        <v>80</v>
      </c>
      <c r="C64" s="574">
        <v>2686923</v>
      </c>
      <c r="D64" s="606">
        <v>1645162</v>
      </c>
    </row>
    <row r="65" spans="1:4" ht="22.5" hidden="1">
      <c r="A65" s="580">
        <v>2110</v>
      </c>
      <c r="B65" s="424" t="s">
        <v>80</v>
      </c>
      <c r="C65" s="574">
        <v>1936000</v>
      </c>
      <c r="D65" s="606">
        <v>993796</v>
      </c>
    </row>
    <row r="66" spans="1:4" ht="22.5" hidden="1">
      <c r="A66" s="580">
        <v>2110</v>
      </c>
      <c r="B66" s="424" t="s">
        <v>80</v>
      </c>
      <c r="C66" s="574">
        <v>658300</v>
      </c>
      <c r="D66" s="606">
        <v>344273</v>
      </c>
    </row>
    <row r="67" spans="1:4" ht="22.5" hidden="1">
      <c r="A67" s="580">
        <v>2110</v>
      </c>
      <c r="B67" s="424" t="s">
        <v>80</v>
      </c>
      <c r="C67" s="574">
        <v>73000</v>
      </c>
      <c r="D67" s="606">
        <v>36498</v>
      </c>
    </row>
    <row r="68" spans="1:4" ht="22.5" hidden="1">
      <c r="A68" s="580">
        <v>2110</v>
      </c>
      <c r="B68" s="424" t="s">
        <v>80</v>
      </c>
      <c r="C68" s="574">
        <v>15286</v>
      </c>
      <c r="D68" s="606">
        <v>15286</v>
      </c>
    </row>
    <row r="69" spans="1:4" ht="33.75" hidden="1">
      <c r="A69" s="580">
        <v>2120</v>
      </c>
      <c r="B69" s="424" t="s">
        <v>39</v>
      </c>
      <c r="C69" s="574">
        <v>2000</v>
      </c>
      <c r="D69" s="606">
        <v>0</v>
      </c>
    </row>
    <row r="70" spans="1:4" ht="22.5" hidden="1">
      <c r="A70" s="580">
        <v>2130</v>
      </c>
      <c r="B70" s="424" t="s">
        <v>186</v>
      </c>
      <c r="C70" s="574">
        <v>1240</v>
      </c>
      <c r="D70" s="606">
        <v>1240</v>
      </c>
    </row>
    <row r="71" spans="1:4" ht="22.5" hidden="1">
      <c r="A71" s="580">
        <v>2130</v>
      </c>
      <c r="B71" s="424" t="s">
        <v>40</v>
      </c>
      <c r="C71" s="574">
        <v>1970000</v>
      </c>
      <c r="D71" s="606">
        <v>925015</v>
      </c>
    </row>
    <row r="72" spans="1:4" ht="22.5" hidden="1">
      <c r="A72" s="580">
        <v>2130</v>
      </c>
      <c r="B72" s="424" t="s">
        <v>40</v>
      </c>
      <c r="C72" s="574">
        <v>2700</v>
      </c>
      <c r="D72" s="606">
        <v>2700</v>
      </c>
    </row>
    <row r="73" spans="1:4" ht="22.5" hidden="1">
      <c r="A73" s="575">
        <v>2130</v>
      </c>
      <c r="B73" s="424" t="s">
        <v>40</v>
      </c>
      <c r="C73" s="574">
        <v>9600</v>
      </c>
      <c r="D73" s="606">
        <v>9600</v>
      </c>
    </row>
    <row r="74" spans="1:4" ht="33.75" hidden="1">
      <c r="A74" s="580">
        <v>2310</v>
      </c>
      <c r="B74" s="583" t="s">
        <v>150</v>
      </c>
      <c r="C74" s="574">
        <v>5000</v>
      </c>
      <c r="D74" s="606">
        <v>10000</v>
      </c>
    </row>
    <row r="75" spans="1:4" ht="33.75" hidden="1">
      <c r="A75" s="580">
        <v>2310</v>
      </c>
      <c r="B75" s="583" t="s">
        <v>150</v>
      </c>
      <c r="C75" s="574">
        <v>5289</v>
      </c>
      <c r="D75" s="606">
        <v>5288.68</v>
      </c>
    </row>
    <row r="76" spans="1:4" ht="33.75" hidden="1">
      <c r="A76" s="580">
        <v>2310</v>
      </c>
      <c r="B76" s="583" t="s">
        <v>150</v>
      </c>
      <c r="C76" s="574">
        <v>19500</v>
      </c>
      <c r="D76" s="606">
        <v>12000</v>
      </c>
    </row>
    <row r="77" spans="1:4" ht="33.75" hidden="1">
      <c r="A77" s="580">
        <v>2320</v>
      </c>
      <c r="B77" s="424" t="s">
        <v>152</v>
      </c>
      <c r="C77" s="574">
        <v>1224095</v>
      </c>
      <c r="D77" s="606">
        <v>698814.3</v>
      </c>
    </row>
    <row r="78" spans="1:4" ht="33.75" hidden="1">
      <c r="A78" s="575">
        <v>2320</v>
      </c>
      <c r="B78" s="424" t="s">
        <v>152</v>
      </c>
      <c r="C78" s="574">
        <v>72872</v>
      </c>
      <c r="D78" s="606">
        <v>40750.400000000001</v>
      </c>
    </row>
    <row r="79" spans="1:4" ht="33.75" hidden="1">
      <c r="A79" s="580">
        <v>2360</v>
      </c>
      <c r="B79" s="424" t="s">
        <v>148</v>
      </c>
      <c r="C79" s="574">
        <v>0</v>
      </c>
      <c r="D79" s="606">
        <v>122.29</v>
      </c>
    </row>
    <row r="80" spans="1:4" ht="33.75" hidden="1">
      <c r="A80" s="580">
        <v>2360</v>
      </c>
      <c r="B80" s="424" t="s">
        <v>148</v>
      </c>
      <c r="C80" s="574">
        <v>100000</v>
      </c>
      <c r="D80" s="606">
        <v>68487.899999999994</v>
      </c>
    </row>
    <row r="81" spans="1:4" ht="33.75" hidden="1">
      <c r="A81" s="575">
        <v>2360</v>
      </c>
      <c r="B81" s="424" t="s">
        <v>148</v>
      </c>
      <c r="C81" s="574">
        <v>0</v>
      </c>
      <c r="D81" s="606">
        <v>12.5</v>
      </c>
    </row>
    <row r="82" spans="1:4" ht="33.75" hidden="1">
      <c r="A82" s="580">
        <v>2360</v>
      </c>
      <c r="B82" s="424" t="s">
        <v>148</v>
      </c>
      <c r="C82" s="574">
        <v>0</v>
      </c>
      <c r="D82" s="606">
        <v>4.7300000000000004</v>
      </c>
    </row>
    <row r="83" spans="1:4" ht="33.75" hidden="1">
      <c r="A83" s="580">
        <v>2360</v>
      </c>
      <c r="B83" s="424" t="s">
        <v>148</v>
      </c>
      <c r="C83" s="574">
        <v>0</v>
      </c>
      <c r="D83" s="606">
        <v>110.12</v>
      </c>
    </row>
    <row r="84" spans="1:4" ht="22.5" hidden="1">
      <c r="A84" s="575">
        <v>2440</v>
      </c>
      <c r="B84" s="424" t="s">
        <v>90</v>
      </c>
      <c r="C84" s="574">
        <v>100000</v>
      </c>
      <c r="D84" s="606">
        <v>0</v>
      </c>
    </row>
    <row r="85" spans="1:4" ht="22.5" hidden="1">
      <c r="A85" s="580">
        <v>2440</v>
      </c>
      <c r="B85" s="583" t="s">
        <v>156</v>
      </c>
      <c r="C85" s="574">
        <v>170000</v>
      </c>
      <c r="D85" s="606">
        <v>95420.3</v>
      </c>
    </row>
    <row r="86" spans="1:4" ht="22.5" hidden="1">
      <c r="A86" s="580">
        <v>2440</v>
      </c>
      <c r="B86" s="583" t="s">
        <v>156</v>
      </c>
      <c r="C86" s="574">
        <v>524500</v>
      </c>
      <c r="D86" s="606">
        <v>262250</v>
      </c>
    </row>
    <row r="87" spans="1:4" ht="22.5" hidden="1">
      <c r="A87" s="580">
        <v>2440</v>
      </c>
      <c r="B87" s="583" t="s">
        <v>156</v>
      </c>
      <c r="C87" s="574">
        <v>85956</v>
      </c>
      <c r="D87" s="606">
        <v>43058</v>
      </c>
    </row>
    <row r="88" spans="1:4" ht="33.75" hidden="1">
      <c r="A88" s="580">
        <v>2460</v>
      </c>
      <c r="B88" s="424" t="s">
        <v>83</v>
      </c>
      <c r="C88" s="574">
        <v>247000</v>
      </c>
      <c r="D88" s="606">
        <v>119746.74</v>
      </c>
    </row>
    <row r="89" spans="1:4" ht="22.5" hidden="1">
      <c r="A89" s="580">
        <v>2707</v>
      </c>
      <c r="B89" s="583" t="s">
        <v>449</v>
      </c>
      <c r="C89" s="574">
        <v>0</v>
      </c>
      <c r="D89" s="606">
        <v>285.12</v>
      </c>
    </row>
    <row r="90" spans="1:4" ht="22.5" hidden="1">
      <c r="A90" s="575">
        <v>2708</v>
      </c>
      <c r="B90" s="424" t="s">
        <v>314</v>
      </c>
      <c r="C90" s="574">
        <v>14844</v>
      </c>
      <c r="D90" s="606">
        <v>0</v>
      </c>
    </row>
    <row r="91" spans="1:4" ht="22.5" hidden="1">
      <c r="A91" s="580">
        <v>2709</v>
      </c>
      <c r="B91" s="583" t="s">
        <v>449</v>
      </c>
      <c r="C91" s="574">
        <v>0</v>
      </c>
      <c r="D91" s="606">
        <v>6973.86</v>
      </c>
    </row>
    <row r="92" spans="1:4" ht="33.75" hidden="1">
      <c r="A92" s="575">
        <v>2710</v>
      </c>
      <c r="B92" s="424" t="s">
        <v>318</v>
      </c>
      <c r="C92" s="574">
        <v>700</v>
      </c>
      <c r="D92" s="606">
        <v>700</v>
      </c>
    </row>
    <row r="93" spans="1:4" ht="22.5" hidden="1">
      <c r="A93" s="575">
        <v>2910</v>
      </c>
      <c r="B93" s="424" t="s">
        <v>151</v>
      </c>
      <c r="C93" s="574">
        <v>4139</v>
      </c>
      <c r="D93" s="606">
        <v>5021.1000000000004</v>
      </c>
    </row>
    <row r="94" spans="1:4" hidden="1">
      <c r="A94" s="580">
        <v>2920</v>
      </c>
      <c r="B94" s="434" t="s">
        <v>32</v>
      </c>
      <c r="C94" s="574">
        <v>15002419</v>
      </c>
      <c r="D94" s="606">
        <v>9232256</v>
      </c>
    </row>
    <row r="95" spans="1:4" hidden="1">
      <c r="A95" s="600">
        <v>2920</v>
      </c>
      <c r="B95" s="637" t="s">
        <v>32</v>
      </c>
      <c r="C95" s="597">
        <v>4950372</v>
      </c>
      <c r="D95" s="638">
        <v>2062655</v>
      </c>
    </row>
    <row r="96" spans="1:4" hidden="1">
      <c r="A96" s="600">
        <v>2920</v>
      </c>
      <c r="B96" s="637" t="s">
        <v>32</v>
      </c>
      <c r="C96" s="597">
        <v>1145933</v>
      </c>
      <c r="D96" s="638">
        <v>1015495</v>
      </c>
    </row>
    <row r="97" spans="1:4" ht="33.75" hidden="1">
      <c r="A97" s="594">
        <v>6260</v>
      </c>
      <c r="B97" s="424" t="s">
        <v>319</v>
      </c>
      <c r="C97" s="597">
        <v>150000</v>
      </c>
      <c r="D97" s="638">
        <v>150000</v>
      </c>
    </row>
    <row r="98" spans="1:4" ht="33.75" hidden="1">
      <c r="A98" s="600">
        <v>8538</v>
      </c>
      <c r="B98" s="634" t="s">
        <v>309</v>
      </c>
      <c r="C98" s="597">
        <v>63375</v>
      </c>
      <c r="D98" s="638">
        <v>14607.2</v>
      </c>
    </row>
    <row r="99" spans="1:4" hidden="1">
      <c r="A99" s="594" t="s">
        <v>31</v>
      </c>
      <c r="B99" s="637" t="s">
        <v>30</v>
      </c>
      <c r="C99" s="597">
        <v>4151439</v>
      </c>
      <c r="D99" s="638">
        <v>1929235</v>
      </c>
    </row>
    <row r="100" spans="1:4" hidden="1">
      <c r="A100" s="593" t="s">
        <v>67</v>
      </c>
      <c r="B100" s="434" t="s">
        <v>68</v>
      </c>
      <c r="C100" s="597">
        <v>150000</v>
      </c>
      <c r="D100" s="638">
        <v>95981.33</v>
      </c>
    </row>
    <row r="101" spans="1:4" hidden="1">
      <c r="A101" s="589" t="s">
        <v>33</v>
      </c>
      <c r="B101" s="635" t="s">
        <v>34</v>
      </c>
      <c r="C101" s="591">
        <v>700000</v>
      </c>
      <c r="D101" s="639">
        <v>446975.1</v>
      </c>
    </row>
    <row r="102" spans="1:4" ht="22.5" hidden="1">
      <c r="A102" s="636" t="s">
        <v>35</v>
      </c>
      <c r="B102" s="634" t="s">
        <v>38</v>
      </c>
      <c r="C102" s="597">
        <v>17207</v>
      </c>
      <c r="D102" s="638">
        <v>41744.39</v>
      </c>
    </row>
    <row r="103" spans="1:4" ht="22.5" hidden="1">
      <c r="A103" s="633" t="s">
        <v>312</v>
      </c>
      <c r="B103" s="635" t="s">
        <v>313</v>
      </c>
      <c r="C103" s="604">
        <v>139000</v>
      </c>
      <c r="D103" s="607">
        <v>141973.85999999999</v>
      </c>
    </row>
    <row r="104" spans="1:4" hidden="1">
      <c r="A104" s="575" t="s">
        <v>146</v>
      </c>
      <c r="B104" s="436" t="s">
        <v>194</v>
      </c>
      <c r="C104" s="574">
        <v>6948</v>
      </c>
      <c r="D104" s="606">
        <v>5215.8999999999996</v>
      </c>
    </row>
    <row r="105" spans="1:4" ht="22.5" hidden="1">
      <c r="A105" s="575" t="s">
        <v>173</v>
      </c>
      <c r="B105" s="424" t="s">
        <v>189</v>
      </c>
      <c r="C105" s="574">
        <v>2897</v>
      </c>
      <c r="D105" s="606">
        <v>2540.84</v>
      </c>
    </row>
    <row r="106" spans="1:4" hidden="1">
      <c r="A106" s="575" t="s">
        <v>52</v>
      </c>
      <c r="B106" s="434" t="s">
        <v>53</v>
      </c>
      <c r="C106" s="574">
        <v>0</v>
      </c>
      <c r="D106" s="606">
        <v>149.6</v>
      </c>
    </row>
    <row r="107" spans="1:4" hidden="1">
      <c r="A107" s="416" t="s">
        <v>52</v>
      </c>
      <c r="B107" s="434" t="s">
        <v>53</v>
      </c>
      <c r="C107" s="574">
        <v>16420</v>
      </c>
      <c r="D107" s="606">
        <v>1161.07</v>
      </c>
    </row>
    <row r="108" spans="1:4" hidden="1">
      <c r="A108" s="633" t="s">
        <v>52</v>
      </c>
      <c r="B108" s="434" t="s">
        <v>53</v>
      </c>
      <c r="C108" s="604"/>
      <c r="D108" s="607">
        <v>12159.73</v>
      </c>
    </row>
    <row r="109" spans="1:4" hidden="1">
      <c r="A109" s="575" t="s">
        <v>52</v>
      </c>
      <c r="B109" s="434" t="s">
        <v>53</v>
      </c>
      <c r="C109" s="574">
        <v>500</v>
      </c>
      <c r="D109" s="606">
        <v>204</v>
      </c>
    </row>
    <row r="110" spans="1:4" hidden="1">
      <c r="A110" s="575" t="s">
        <v>52</v>
      </c>
      <c r="B110" s="434" t="s">
        <v>53</v>
      </c>
      <c r="C110" s="574">
        <v>60</v>
      </c>
      <c r="D110" s="606">
        <v>52.2</v>
      </c>
    </row>
    <row r="111" spans="1:4" hidden="1">
      <c r="A111" s="575" t="s">
        <v>52</v>
      </c>
      <c r="B111" s="434" t="s">
        <v>53</v>
      </c>
      <c r="C111" s="574">
        <v>20</v>
      </c>
      <c r="D111" s="606">
        <v>17.399999999999999</v>
      </c>
    </row>
    <row r="112" spans="1:4" hidden="1">
      <c r="A112" s="575" t="s">
        <v>52</v>
      </c>
      <c r="B112" s="434" t="s">
        <v>53</v>
      </c>
      <c r="C112" s="574">
        <v>20</v>
      </c>
      <c r="D112" s="606">
        <v>17.399999999999999</v>
      </c>
    </row>
    <row r="113" spans="1:4" hidden="1">
      <c r="A113" s="575" t="s">
        <v>52</v>
      </c>
      <c r="B113" s="434" t="s">
        <v>53</v>
      </c>
      <c r="C113" s="574">
        <v>958</v>
      </c>
      <c r="D113" s="606">
        <v>390</v>
      </c>
    </row>
    <row r="114" spans="1:4" hidden="1">
      <c r="A114" s="575" t="s">
        <v>52</v>
      </c>
      <c r="B114" s="434" t="s">
        <v>53</v>
      </c>
      <c r="C114" s="574">
        <v>1500</v>
      </c>
      <c r="D114" s="606">
        <v>133</v>
      </c>
    </row>
    <row r="115" spans="1:4" ht="33.75" hidden="1">
      <c r="A115" s="575" t="s">
        <v>36</v>
      </c>
      <c r="B115" s="424" t="s">
        <v>209</v>
      </c>
      <c r="C115" s="574">
        <v>10200</v>
      </c>
      <c r="D115" s="606">
        <v>5100</v>
      </c>
    </row>
    <row r="116" spans="1:4" ht="33.75" hidden="1">
      <c r="A116" s="575" t="s">
        <v>36</v>
      </c>
      <c r="B116" s="424" t="s">
        <v>209</v>
      </c>
      <c r="C116" s="574">
        <v>40000</v>
      </c>
      <c r="D116" s="606">
        <v>13080.64</v>
      </c>
    </row>
    <row r="117" spans="1:4" ht="33.75" hidden="1">
      <c r="A117" s="575" t="s">
        <v>36</v>
      </c>
      <c r="B117" s="424" t="s">
        <v>209</v>
      </c>
      <c r="C117" s="604">
        <v>3000</v>
      </c>
      <c r="D117" s="607">
        <v>1950</v>
      </c>
    </row>
    <row r="118" spans="1:4" ht="33.75" hidden="1">
      <c r="A118" s="575" t="s">
        <v>36</v>
      </c>
      <c r="B118" s="424" t="s">
        <v>209</v>
      </c>
      <c r="C118" s="574">
        <v>5200</v>
      </c>
      <c r="D118" s="606">
        <v>3800</v>
      </c>
    </row>
    <row r="119" spans="1:4" ht="33.75" hidden="1">
      <c r="A119" s="575" t="s">
        <v>36</v>
      </c>
      <c r="B119" s="424" t="s">
        <v>209</v>
      </c>
      <c r="C119" s="574">
        <v>40000</v>
      </c>
      <c r="D119" s="606">
        <v>22644.47</v>
      </c>
    </row>
    <row r="120" spans="1:4" ht="33.75" hidden="1">
      <c r="A120" s="575" t="s">
        <v>36</v>
      </c>
      <c r="B120" s="424" t="s">
        <v>209</v>
      </c>
      <c r="C120" s="574">
        <v>1200</v>
      </c>
      <c r="D120" s="606">
        <v>3465</v>
      </c>
    </row>
    <row r="121" spans="1:4" ht="33.75" hidden="1">
      <c r="A121" s="575" t="s">
        <v>36</v>
      </c>
      <c r="B121" s="424" t="s">
        <v>209</v>
      </c>
      <c r="C121" s="574">
        <v>400</v>
      </c>
      <c r="D121" s="606">
        <v>1154.96</v>
      </c>
    </row>
    <row r="122" spans="1:4" ht="33.75" hidden="1">
      <c r="A122" s="575" t="s">
        <v>36</v>
      </c>
      <c r="B122" s="424" t="s">
        <v>209</v>
      </c>
      <c r="C122" s="574">
        <v>400</v>
      </c>
      <c r="D122" s="606">
        <v>1154.96</v>
      </c>
    </row>
    <row r="123" spans="1:4" ht="33.75" hidden="1">
      <c r="A123" s="575" t="s">
        <v>36</v>
      </c>
      <c r="B123" s="424" t="s">
        <v>209</v>
      </c>
      <c r="C123" s="574">
        <v>32598</v>
      </c>
      <c r="D123" s="606">
        <v>21323.52</v>
      </c>
    </row>
    <row r="124" spans="1:4" ht="33.75" hidden="1">
      <c r="A124" s="575" t="s">
        <v>36</v>
      </c>
      <c r="B124" s="424" t="s">
        <v>209</v>
      </c>
      <c r="C124" s="574">
        <v>14719</v>
      </c>
      <c r="D124" s="606">
        <v>31543.25</v>
      </c>
    </row>
    <row r="125" spans="1:4" ht="33.75" hidden="1">
      <c r="A125" s="575" t="s">
        <v>36</v>
      </c>
      <c r="B125" s="424" t="s">
        <v>209</v>
      </c>
      <c r="C125" s="574">
        <v>0</v>
      </c>
      <c r="D125" s="606">
        <v>5634.36</v>
      </c>
    </row>
    <row r="126" spans="1:4" ht="33.75" hidden="1">
      <c r="A126" s="575" t="s">
        <v>36</v>
      </c>
      <c r="B126" s="424" t="s">
        <v>209</v>
      </c>
      <c r="C126" s="574">
        <v>5850</v>
      </c>
      <c r="D126" s="606">
        <v>8350</v>
      </c>
    </row>
    <row r="127" spans="1:4" ht="33.75" hidden="1">
      <c r="A127" s="575" t="s">
        <v>36</v>
      </c>
      <c r="B127" s="424" t="s">
        <v>149</v>
      </c>
      <c r="C127" s="574">
        <v>37694</v>
      </c>
      <c r="D127" s="606">
        <v>26247.16</v>
      </c>
    </row>
    <row r="128" spans="1:4" ht="33.75" hidden="1">
      <c r="A128" s="575" t="s">
        <v>36</v>
      </c>
      <c r="B128" s="424" t="s">
        <v>209</v>
      </c>
      <c r="C128" s="574">
        <v>900</v>
      </c>
      <c r="D128" s="606">
        <v>3000</v>
      </c>
    </row>
    <row r="129" spans="1:4" ht="33.75" hidden="1">
      <c r="A129" s="575" t="s">
        <v>36</v>
      </c>
      <c r="B129" s="424" t="s">
        <v>209</v>
      </c>
      <c r="C129" s="574">
        <v>13945</v>
      </c>
      <c r="D129" s="606">
        <v>7838.68</v>
      </c>
    </row>
    <row r="130" spans="1:4" ht="33.75" hidden="1">
      <c r="A130" s="575" t="s">
        <v>36</v>
      </c>
      <c r="B130" s="424" t="s">
        <v>209</v>
      </c>
      <c r="C130" s="574">
        <v>6500</v>
      </c>
      <c r="D130" s="606">
        <v>2100</v>
      </c>
    </row>
    <row r="131" spans="1:4" ht="33.75" hidden="1">
      <c r="A131" s="575" t="s">
        <v>36</v>
      </c>
      <c r="B131" s="424" t="s">
        <v>209</v>
      </c>
      <c r="C131" s="574">
        <v>150</v>
      </c>
      <c r="D131" s="606">
        <v>150</v>
      </c>
    </row>
    <row r="132" spans="1:4" ht="33.75" hidden="1">
      <c r="A132" s="575" t="s">
        <v>36</v>
      </c>
      <c r="B132" s="424" t="s">
        <v>209</v>
      </c>
      <c r="C132" s="574">
        <v>0</v>
      </c>
      <c r="D132" s="606">
        <v>7963.85</v>
      </c>
    </row>
    <row r="133" spans="1:4" ht="22.5" hidden="1">
      <c r="A133" s="575" t="s">
        <v>37</v>
      </c>
      <c r="B133" s="424" t="s">
        <v>75</v>
      </c>
      <c r="C133" s="574">
        <v>812900</v>
      </c>
      <c r="D133" s="606">
        <v>812900</v>
      </c>
    </row>
    <row r="134" spans="1:4" ht="22.5" hidden="1">
      <c r="A134" s="575" t="s">
        <v>37</v>
      </c>
      <c r="B134" s="424" t="s">
        <v>75</v>
      </c>
      <c r="C134" s="574">
        <v>1114479</v>
      </c>
      <c r="D134" s="606">
        <v>757956.11</v>
      </c>
    </row>
    <row r="135" spans="1:4" hidden="1">
      <c r="A135" s="575" t="s">
        <v>70</v>
      </c>
      <c r="B135" s="424" t="s">
        <v>72</v>
      </c>
      <c r="C135" s="574">
        <v>510</v>
      </c>
      <c r="D135" s="606">
        <v>510.04</v>
      </c>
    </row>
    <row r="136" spans="1:4" hidden="1">
      <c r="A136" s="575" t="s">
        <v>70</v>
      </c>
      <c r="B136" s="424" t="s">
        <v>72</v>
      </c>
      <c r="C136" s="574">
        <v>1500</v>
      </c>
      <c r="D136" s="606">
        <v>1768.2</v>
      </c>
    </row>
    <row r="137" spans="1:4" hidden="1">
      <c r="A137" s="575" t="s">
        <v>70</v>
      </c>
      <c r="B137" s="424" t="s">
        <v>72</v>
      </c>
      <c r="C137" s="574">
        <v>10539</v>
      </c>
      <c r="D137" s="606">
        <v>7603.08</v>
      </c>
    </row>
    <row r="138" spans="1:4" hidden="1">
      <c r="A138" s="575" t="s">
        <v>70</v>
      </c>
      <c r="B138" s="424" t="s">
        <v>72</v>
      </c>
      <c r="C138" s="574">
        <v>19308</v>
      </c>
      <c r="D138" s="606">
        <v>32696.59</v>
      </c>
    </row>
    <row r="139" spans="1:4" hidden="1">
      <c r="A139" s="575" t="s">
        <v>70</v>
      </c>
      <c r="B139" s="424" t="s">
        <v>72</v>
      </c>
      <c r="C139" s="574">
        <v>9252</v>
      </c>
      <c r="D139" s="606">
        <v>9060.11</v>
      </c>
    </row>
    <row r="140" spans="1:4" hidden="1">
      <c r="A140" s="575" t="s">
        <v>70</v>
      </c>
      <c r="B140" s="424" t="s">
        <v>72</v>
      </c>
      <c r="C140" s="574">
        <v>17000</v>
      </c>
      <c r="D140" s="606">
        <v>6060</v>
      </c>
    </row>
    <row r="141" spans="1:4" hidden="1">
      <c r="A141" s="575" t="s">
        <v>70</v>
      </c>
      <c r="B141" s="424" t="s">
        <v>72</v>
      </c>
      <c r="C141" s="574">
        <v>67473</v>
      </c>
      <c r="D141" s="606">
        <v>23842</v>
      </c>
    </row>
    <row r="142" spans="1:4" hidden="1">
      <c r="A142" s="575" t="s">
        <v>70</v>
      </c>
      <c r="B142" s="424" t="s">
        <v>72</v>
      </c>
      <c r="C142" s="574">
        <v>75000</v>
      </c>
      <c r="D142" s="606">
        <v>73088.86</v>
      </c>
    </row>
    <row r="143" spans="1:4" hidden="1">
      <c r="A143" s="575" t="s">
        <v>70</v>
      </c>
      <c r="B143" s="424" t="s">
        <v>72</v>
      </c>
      <c r="C143" s="574">
        <v>35086</v>
      </c>
      <c r="D143" s="606">
        <v>13143.46</v>
      </c>
    </row>
    <row r="144" spans="1:4" hidden="1">
      <c r="A144" s="575" t="s">
        <v>444</v>
      </c>
      <c r="B144" s="424" t="s">
        <v>450</v>
      </c>
      <c r="C144" s="574"/>
      <c r="D144" s="606">
        <v>169.33</v>
      </c>
    </row>
    <row r="145" spans="1:4" ht="22.5" hidden="1">
      <c r="A145" s="593" t="s">
        <v>446</v>
      </c>
      <c r="B145" s="428" t="s">
        <v>451</v>
      </c>
      <c r="C145" s="601"/>
      <c r="D145" s="606">
        <v>1469.2</v>
      </c>
    </row>
    <row r="146" spans="1:4" ht="22.5" hidden="1">
      <c r="A146" s="593" t="s">
        <v>446</v>
      </c>
      <c r="B146" s="428" t="s">
        <v>451</v>
      </c>
      <c r="C146" s="574">
        <v>0</v>
      </c>
      <c r="D146" s="606">
        <v>42</v>
      </c>
    </row>
    <row r="147" spans="1:4" hidden="1">
      <c r="A147" s="593" t="s">
        <v>442</v>
      </c>
      <c r="B147" s="424" t="s">
        <v>448</v>
      </c>
      <c r="C147" s="574">
        <v>0</v>
      </c>
      <c r="D147" s="606">
        <v>2.2200000000000002</v>
      </c>
    </row>
    <row r="148" spans="1:4" hidden="1">
      <c r="A148" s="593" t="s">
        <v>442</v>
      </c>
      <c r="B148" s="424" t="s">
        <v>448</v>
      </c>
      <c r="C148" s="574"/>
      <c r="D148" s="606">
        <v>56.7</v>
      </c>
    </row>
    <row r="149" spans="1:4" hidden="1">
      <c r="A149" s="593" t="s">
        <v>442</v>
      </c>
      <c r="B149" s="424" t="s">
        <v>448</v>
      </c>
      <c r="C149" s="604"/>
      <c r="D149" s="607">
        <v>177.99</v>
      </c>
    </row>
    <row r="150" spans="1:4" hidden="1">
      <c r="A150" s="593" t="s">
        <v>64</v>
      </c>
      <c r="B150" s="424" t="s">
        <v>74</v>
      </c>
      <c r="C150" s="574">
        <v>400</v>
      </c>
      <c r="D150" s="606">
        <v>1234.29</v>
      </c>
    </row>
    <row r="151" spans="1:4" hidden="1">
      <c r="A151" s="593" t="s">
        <v>64</v>
      </c>
      <c r="B151" s="424" t="s">
        <v>74</v>
      </c>
      <c r="C151" s="574">
        <v>10000</v>
      </c>
      <c r="D151" s="606">
        <v>1670.9</v>
      </c>
    </row>
    <row r="152" spans="1:4" hidden="1">
      <c r="A152" s="593" t="s">
        <v>64</v>
      </c>
      <c r="B152" s="424" t="s">
        <v>74</v>
      </c>
      <c r="C152" s="574">
        <v>0</v>
      </c>
      <c r="D152" s="606">
        <v>369.18</v>
      </c>
    </row>
    <row r="153" spans="1:4" hidden="1">
      <c r="A153" s="506" t="s">
        <v>64</v>
      </c>
      <c r="B153" s="424" t="s">
        <v>74</v>
      </c>
      <c r="C153" s="574">
        <v>0</v>
      </c>
      <c r="D153" s="606">
        <v>308.86</v>
      </c>
    </row>
    <row r="154" spans="1:4" hidden="1">
      <c r="A154" s="593" t="s">
        <v>64</v>
      </c>
      <c r="B154" s="424" t="s">
        <v>74</v>
      </c>
      <c r="C154" s="574">
        <v>0</v>
      </c>
      <c r="D154" s="606">
        <v>3873.64</v>
      </c>
    </row>
    <row r="155" spans="1:4" hidden="1">
      <c r="A155" s="593" t="s">
        <v>64</v>
      </c>
      <c r="B155" s="434" t="s">
        <v>74</v>
      </c>
      <c r="C155" s="574">
        <v>37477</v>
      </c>
      <c r="D155" s="606">
        <v>69143.710000000006</v>
      </c>
    </row>
    <row r="156" spans="1:4" hidden="1">
      <c r="A156" s="593" t="s">
        <v>64</v>
      </c>
      <c r="B156" s="424" t="s">
        <v>74</v>
      </c>
      <c r="C156" s="574">
        <v>450</v>
      </c>
      <c r="D156" s="606">
        <v>438.53</v>
      </c>
    </row>
    <row r="157" spans="1:4" hidden="1">
      <c r="A157" s="593" t="s">
        <v>64</v>
      </c>
      <c r="B157" s="424" t="s">
        <v>74</v>
      </c>
      <c r="C157" s="574">
        <v>360</v>
      </c>
      <c r="D157" s="606">
        <v>531.79</v>
      </c>
    </row>
    <row r="158" spans="1:4" hidden="1">
      <c r="A158" s="593" t="s">
        <v>64</v>
      </c>
      <c r="B158" s="424" t="s">
        <v>74</v>
      </c>
      <c r="C158" s="574">
        <v>54</v>
      </c>
      <c r="D158" s="606">
        <v>100.79</v>
      </c>
    </row>
    <row r="159" spans="1:4" hidden="1">
      <c r="A159" s="593" t="s">
        <v>64</v>
      </c>
      <c r="B159" s="424" t="s">
        <v>74</v>
      </c>
      <c r="C159" s="574">
        <v>18</v>
      </c>
      <c r="D159" s="606">
        <v>33.57</v>
      </c>
    </row>
    <row r="160" spans="1:4" hidden="1">
      <c r="A160" s="593" t="s">
        <v>64</v>
      </c>
      <c r="B160" s="424" t="s">
        <v>74</v>
      </c>
      <c r="C160" s="574">
        <v>18</v>
      </c>
      <c r="D160" s="606">
        <v>33.57</v>
      </c>
    </row>
    <row r="161" spans="1:4" hidden="1">
      <c r="A161" s="593" t="s">
        <v>64</v>
      </c>
      <c r="B161" s="424" t="s">
        <v>74</v>
      </c>
      <c r="C161" s="574">
        <v>1252</v>
      </c>
      <c r="D161" s="606">
        <v>1169.3599999999999</v>
      </c>
    </row>
    <row r="162" spans="1:4" hidden="1">
      <c r="A162" s="593" t="s">
        <v>64</v>
      </c>
      <c r="B162" s="424" t="s">
        <v>74</v>
      </c>
      <c r="C162" s="574">
        <v>700</v>
      </c>
      <c r="D162" s="606">
        <v>580.64</v>
      </c>
    </row>
    <row r="163" spans="1:4" hidden="1">
      <c r="A163" s="593" t="s">
        <v>64</v>
      </c>
      <c r="B163" s="424" t="s">
        <v>74</v>
      </c>
      <c r="C163" s="574">
        <v>3444</v>
      </c>
      <c r="D163" s="606">
        <v>2278.0300000000002</v>
      </c>
    </row>
    <row r="164" spans="1:4" hidden="1">
      <c r="A164" s="593" t="s">
        <v>64</v>
      </c>
      <c r="B164" s="424" t="s">
        <v>74</v>
      </c>
      <c r="C164" s="574">
        <v>0</v>
      </c>
      <c r="D164" s="606">
        <v>7369.52</v>
      </c>
    </row>
    <row r="165" spans="1:4" hidden="1">
      <c r="A165" s="593" t="s">
        <v>64</v>
      </c>
      <c r="B165" s="424" t="s">
        <v>74</v>
      </c>
      <c r="C165" s="601">
        <v>0</v>
      </c>
      <c r="D165" s="607">
        <v>65.599999999999994</v>
      </c>
    </row>
    <row r="166" spans="1:4" hidden="1">
      <c r="A166" s="593" t="s">
        <v>64</v>
      </c>
      <c r="B166" s="424" t="s">
        <v>74</v>
      </c>
      <c r="C166" s="574">
        <v>0</v>
      </c>
      <c r="D166" s="606">
        <v>373.34</v>
      </c>
    </row>
    <row r="167" spans="1:4" hidden="1">
      <c r="A167" s="593" t="s">
        <v>64</v>
      </c>
      <c r="B167" s="424" t="s">
        <v>74</v>
      </c>
      <c r="C167" s="574">
        <v>300</v>
      </c>
      <c r="D167" s="606">
        <v>1118.94</v>
      </c>
    </row>
    <row r="168" spans="1:4" hidden="1">
      <c r="A168" s="575" t="s">
        <v>64</v>
      </c>
      <c r="B168" s="424" t="s">
        <v>74</v>
      </c>
      <c r="C168" s="574">
        <v>500</v>
      </c>
      <c r="D168" s="606">
        <v>3591.94</v>
      </c>
    </row>
    <row r="169" spans="1:4" hidden="1">
      <c r="A169" s="575" t="s">
        <v>64</v>
      </c>
      <c r="B169" s="424" t="s">
        <v>74</v>
      </c>
      <c r="C169" s="574">
        <v>500</v>
      </c>
      <c r="D169" s="606">
        <v>600.77</v>
      </c>
    </row>
    <row r="170" spans="1:4" hidden="1">
      <c r="A170" s="575" t="s">
        <v>64</v>
      </c>
      <c r="B170" s="424" t="s">
        <v>74</v>
      </c>
      <c r="C170" s="574">
        <v>323</v>
      </c>
      <c r="D170" s="606">
        <v>345.33</v>
      </c>
    </row>
    <row r="171" spans="1:4" hidden="1">
      <c r="A171" s="575" t="s">
        <v>64</v>
      </c>
      <c r="B171" s="424" t="s">
        <v>74</v>
      </c>
      <c r="C171" s="574">
        <v>300</v>
      </c>
      <c r="D171" s="606">
        <v>490.16</v>
      </c>
    </row>
    <row r="172" spans="1:4" hidden="1">
      <c r="A172" s="575" t="s">
        <v>116</v>
      </c>
      <c r="B172" s="424" t="s">
        <v>188</v>
      </c>
      <c r="C172" s="574">
        <v>60</v>
      </c>
      <c r="D172" s="606">
        <v>0</v>
      </c>
    </row>
    <row r="173" spans="1:4" hidden="1">
      <c r="A173" s="575" t="s">
        <v>116</v>
      </c>
      <c r="B173" s="424" t="s">
        <v>188</v>
      </c>
      <c r="C173" s="574">
        <v>20</v>
      </c>
      <c r="D173" s="606">
        <v>0</v>
      </c>
    </row>
    <row r="174" spans="1:4" hidden="1">
      <c r="A174" s="575" t="s">
        <v>116</v>
      </c>
      <c r="B174" s="424" t="s">
        <v>188</v>
      </c>
      <c r="C174" s="574">
        <v>20</v>
      </c>
      <c r="D174" s="606">
        <v>0</v>
      </c>
    </row>
    <row r="175" spans="1:4" hidden="1">
      <c r="A175" s="575" t="s">
        <v>116</v>
      </c>
      <c r="B175" s="424" t="s">
        <v>188</v>
      </c>
      <c r="C175" s="574">
        <v>1149</v>
      </c>
      <c r="D175" s="606">
        <v>1148.95</v>
      </c>
    </row>
    <row r="176" spans="1:4" hidden="1">
      <c r="A176" s="575" t="s">
        <v>116</v>
      </c>
      <c r="B176" s="424" t="s">
        <v>188</v>
      </c>
      <c r="C176" s="574">
        <v>0</v>
      </c>
      <c r="D176" s="606">
        <v>165.91</v>
      </c>
    </row>
    <row r="177" spans="1:4" hidden="1">
      <c r="A177" s="575" t="s">
        <v>71</v>
      </c>
      <c r="B177" s="424" t="s">
        <v>73</v>
      </c>
      <c r="C177" s="574">
        <v>3190</v>
      </c>
      <c r="D177" s="606">
        <v>10280.530000000001</v>
      </c>
    </row>
    <row r="178" spans="1:4" hidden="1">
      <c r="A178" s="575" t="s">
        <v>71</v>
      </c>
      <c r="B178" s="424" t="s">
        <v>73</v>
      </c>
      <c r="C178" s="574">
        <v>5000</v>
      </c>
      <c r="D178" s="606">
        <v>200.23</v>
      </c>
    </row>
    <row r="179" spans="1:4" hidden="1">
      <c r="A179" s="416" t="s">
        <v>71</v>
      </c>
      <c r="B179" s="424" t="s">
        <v>73</v>
      </c>
      <c r="C179" s="574">
        <v>0</v>
      </c>
      <c r="D179" s="606">
        <v>11884.08</v>
      </c>
    </row>
    <row r="180" spans="1:4" hidden="1">
      <c r="A180" s="575" t="s">
        <v>71</v>
      </c>
      <c r="B180" s="424" t="s">
        <v>73</v>
      </c>
      <c r="C180" s="574">
        <v>0</v>
      </c>
      <c r="D180" s="606">
        <v>330</v>
      </c>
    </row>
    <row r="181" spans="1:4" hidden="1">
      <c r="A181" s="575" t="s">
        <v>71</v>
      </c>
      <c r="B181" s="424" t="s">
        <v>73</v>
      </c>
      <c r="C181" s="574">
        <v>300</v>
      </c>
      <c r="D181" s="606">
        <v>156.08000000000001</v>
      </c>
    </row>
    <row r="182" spans="1:4" hidden="1">
      <c r="A182" s="575" t="s">
        <v>71</v>
      </c>
      <c r="B182" s="424" t="s">
        <v>73</v>
      </c>
      <c r="C182" s="574">
        <v>72</v>
      </c>
      <c r="D182" s="606">
        <v>28.6</v>
      </c>
    </row>
    <row r="183" spans="1:4" hidden="1">
      <c r="A183" s="575" t="s">
        <v>71</v>
      </c>
      <c r="B183" s="424" t="s">
        <v>73</v>
      </c>
      <c r="C183" s="574">
        <v>24</v>
      </c>
      <c r="D183" s="606">
        <v>9.52</v>
      </c>
    </row>
    <row r="184" spans="1:4" hidden="1">
      <c r="A184" s="575" t="s">
        <v>71</v>
      </c>
      <c r="B184" s="424" t="s">
        <v>73</v>
      </c>
      <c r="C184" s="574">
        <v>24</v>
      </c>
      <c r="D184" s="606">
        <v>9.52</v>
      </c>
    </row>
    <row r="185" spans="1:4" hidden="1">
      <c r="A185" s="575" t="s">
        <v>71</v>
      </c>
      <c r="B185" s="424" t="s">
        <v>73</v>
      </c>
      <c r="C185" s="574">
        <v>7436</v>
      </c>
      <c r="D185" s="606">
        <v>7370.49</v>
      </c>
    </row>
    <row r="186" spans="1:4" hidden="1">
      <c r="A186" s="575" t="s">
        <v>71</v>
      </c>
      <c r="B186" s="424" t="s">
        <v>73</v>
      </c>
      <c r="C186" s="574">
        <v>1548</v>
      </c>
      <c r="D186" s="606">
        <v>1548</v>
      </c>
    </row>
    <row r="187" spans="1:4" hidden="1">
      <c r="A187" s="575" t="s">
        <v>71</v>
      </c>
      <c r="B187" s="424" t="s">
        <v>73</v>
      </c>
      <c r="C187" s="574">
        <v>676</v>
      </c>
      <c r="D187" s="606">
        <v>826.37</v>
      </c>
    </row>
    <row r="188" spans="1:4" hidden="1">
      <c r="A188" s="575" t="s">
        <v>71</v>
      </c>
      <c r="B188" s="424" t="s">
        <v>73</v>
      </c>
      <c r="C188" s="574">
        <v>0</v>
      </c>
      <c r="D188" s="606">
        <v>98</v>
      </c>
    </row>
    <row r="189" spans="1:4" hidden="1">
      <c r="A189" s="575" t="s">
        <v>71</v>
      </c>
      <c r="B189" s="424" t="s">
        <v>73</v>
      </c>
      <c r="C189" s="574"/>
      <c r="D189" s="606">
        <v>638.64</v>
      </c>
    </row>
    <row r="190" spans="1:4" hidden="1">
      <c r="A190" s="575" t="s">
        <v>71</v>
      </c>
      <c r="B190" s="424" t="s">
        <v>73</v>
      </c>
      <c r="C190" s="574">
        <v>30650</v>
      </c>
      <c r="D190" s="606">
        <v>16959</v>
      </c>
    </row>
    <row r="191" spans="1:4" hidden="1">
      <c r="A191" s="575" t="s">
        <v>71</v>
      </c>
      <c r="B191" s="424" t="s">
        <v>73</v>
      </c>
      <c r="C191" s="574">
        <v>1200</v>
      </c>
      <c r="D191" s="606">
        <v>412.08</v>
      </c>
    </row>
    <row r="192" spans="1:4" hidden="1">
      <c r="A192" s="575" t="s">
        <v>71</v>
      </c>
      <c r="B192" s="424" t="s">
        <v>73</v>
      </c>
      <c r="C192" s="574">
        <v>0</v>
      </c>
      <c r="D192" s="606">
        <v>48</v>
      </c>
    </row>
    <row r="193" spans="1:4" hidden="1">
      <c r="A193" s="575" t="s">
        <v>71</v>
      </c>
      <c r="B193" s="424" t="s">
        <v>73</v>
      </c>
      <c r="C193" s="574">
        <v>65</v>
      </c>
      <c r="D193" s="606">
        <v>37</v>
      </c>
    </row>
    <row r="194" spans="1:4" hidden="1">
      <c r="A194" s="575" t="s">
        <v>71</v>
      </c>
      <c r="B194" s="424" t="s">
        <v>73</v>
      </c>
      <c r="C194" s="574">
        <v>1000</v>
      </c>
      <c r="D194" s="606">
        <v>0</v>
      </c>
    </row>
    <row r="195" spans="1:4" ht="22.5" hidden="1">
      <c r="A195" s="575" t="s">
        <v>447</v>
      </c>
      <c r="B195" s="424" t="s">
        <v>151</v>
      </c>
      <c r="C195" s="574">
        <v>0</v>
      </c>
      <c r="D195" s="606">
        <v>523.74</v>
      </c>
    </row>
    <row r="196" spans="1:4">
      <c r="C196" s="30"/>
      <c r="D196" s="640"/>
    </row>
  </sheetData>
  <sortState ref="A1:E192">
    <sortCondition ref="A1"/>
  </sortState>
  <mergeCells count="2">
    <mergeCell ref="A42:B42"/>
    <mergeCell ref="A29:B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52"/>
  <sheetViews>
    <sheetView view="pageLayout" topLeftCell="A136" zoomScaleSheetLayoutView="100" workbookViewId="0">
      <selection activeCell="A160" sqref="A160"/>
    </sheetView>
  </sheetViews>
  <sheetFormatPr defaultRowHeight="12.75"/>
  <cols>
    <col min="1" max="1" width="5.140625" customWidth="1"/>
    <col min="2" max="2" width="6.85546875" customWidth="1"/>
    <col min="3" max="3" width="5.85546875" customWidth="1"/>
    <col min="4" max="4" width="44.5703125" customWidth="1"/>
    <col min="5" max="5" width="14.28515625" customWidth="1"/>
    <col min="6" max="7" width="16.140625" customWidth="1"/>
    <col min="8" max="8" width="8.42578125" customWidth="1"/>
    <col min="9" max="9" width="6.85546875" customWidth="1"/>
    <col min="10" max="14" width="9.140625" hidden="1" customWidth="1"/>
    <col min="15" max="15" width="0.28515625" customWidth="1"/>
    <col min="16" max="19" width="9.140625" hidden="1" customWidth="1"/>
  </cols>
  <sheetData>
    <row r="1" spans="1:8">
      <c r="A1" s="59"/>
      <c r="B1" s="59"/>
      <c r="C1" s="59"/>
      <c r="D1" s="705" t="s">
        <v>190</v>
      </c>
      <c r="E1" s="705"/>
      <c r="F1" s="705"/>
      <c r="G1" s="705"/>
      <c r="H1" s="705"/>
    </row>
    <row r="2" spans="1:8">
      <c r="A2" s="59"/>
      <c r="B2" s="59"/>
      <c r="C2" s="59"/>
      <c r="D2" s="59"/>
      <c r="E2" s="131"/>
      <c r="F2" s="131"/>
      <c r="G2" s="131"/>
      <c r="H2" s="59"/>
    </row>
    <row r="3" spans="1:8" ht="15.75">
      <c r="A3" s="760" t="s">
        <v>3</v>
      </c>
      <c r="B3" s="760"/>
      <c r="C3" s="760"/>
      <c r="D3" s="760"/>
      <c r="E3" s="760"/>
      <c r="F3" s="760"/>
      <c r="G3" s="760"/>
      <c r="H3" s="760"/>
    </row>
    <row r="4" spans="1:8" ht="15.75">
      <c r="A4" s="760" t="s">
        <v>4</v>
      </c>
      <c r="B4" s="760"/>
      <c r="C4" s="760"/>
      <c r="D4" s="760"/>
      <c r="E4" s="760"/>
      <c r="F4" s="760"/>
      <c r="G4" s="760"/>
      <c r="H4" s="760"/>
    </row>
    <row r="5" spans="1:8" ht="15.75">
      <c r="A5" s="761" t="s">
        <v>195</v>
      </c>
      <c r="B5" s="761"/>
      <c r="C5" s="761"/>
      <c r="D5" s="761"/>
      <c r="E5" s="761"/>
      <c r="F5" s="761"/>
      <c r="G5" s="761"/>
      <c r="H5" s="761"/>
    </row>
    <row r="6" spans="1:8" ht="15.75">
      <c r="A6" s="760" t="s">
        <v>320</v>
      </c>
      <c r="B6" s="760"/>
      <c r="C6" s="760"/>
      <c r="D6" s="760"/>
      <c r="E6" s="760"/>
      <c r="F6" s="760"/>
      <c r="G6" s="760"/>
      <c r="H6" s="760"/>
    </row>
    <row r="7" spans="1:8">
      <c r="A7" s="59"/>
      <c r="B7" s="59"/>
      <c r="C7" s="59"/>
      <c r="D7" s="59"/>
      <c r="E7" s="131"/>
      <c r="F7" s="131"/>
      <c r="G7" s="131"/>
      <c r="H7" s="59"/>
    </row>
    <row r="8" spans="1:8">
      <c r="A8" s="59" t="s">
        <v>7</v>
      </c>
      <c r="B8" s="59"/>
      <c r="C8" s="59"/>
      <c r="D8" s="59"/>
      <c r="E8" s="131"/>
      <c r="F8" s="131"/>
      <c r="G8" s="131"/>
      <c r="H8" s="59" t="s">
        <v>165</v>
      </c>
    </row>
    <row r="9" spans="1:8" s="151" customFormat="1" ht="11.25">
      <c r="A9" s="754" t="s">
        <v>0</v>
      </c>
      <c r="B9" s="754" t="s">
        <v>77</v>
      </c>
      <c r="C9" s="754" t="s">
        <v>78</v>
      </c>
      <c r="D9" s="754" t="s">
        <v>1</v>
      </c>
      <c r="E9" s="757" t="s">
        <v>192</v>
      </c>
      <c r="F9" s="762" t="s">
        <v>144</v>
      </c>
      <c r="G9" s="762"/>
      <c r="H9" s="751" t="s">
        <v>145</v>
      </c>
    </row>
    <row r="10" spans="1:8" s="151" customFormat="1" ht="11.25">
      <c r="A10" s="755"/>
      <c r="B10" s="755"/>
      <c r="C10" s="755"/>
      <c r="D10" s="755"/>
      <c r="E10" s="758"/>
      <c r="F10" s="718" t="s">
        <v>453</v>
      </c>
      <c r="G10" s="717" t="s">
        <v>454</v>
      </c>
      <c r="H10" s="752"/>
    </row>
    <row r="11" spans="1:8" s="151" customFormat="1" ht="11.25">
      <c r="A11" s="756"/>
      <c r="B11" s="756"/>
      <c r="C11" s="756"/>
      <c r="D11" s="756"/>
      <c r="E11" s="759"/>
      <c r="F11" s="718"/>
      <c r="G11" s="717"/>
      <c r="H11" s="753"/>
    </row>
    <row r="12" spans="1:8" s="151" customFormat="1" ht="11.25">
      <c r="A12" s="63">
        <v>1</v>
      </c>
      <c r="B12" s="63">
        <v>2</v>
      </c>
      <c r="C12" s="63">
        <v>3</v>
      </c>
      <c r="D12" s="63">
        <v>4</v>
      </c>
      <c r="E12" s="153">
        <v>5</v>
      </c>
      <c r="F12" s="153">
        <v>6</v>
      </c>
      <c r="G12" s="153">
        <v>7</v>
      </c>
      <c r="H12" s="63">
        <v>8</v>
      </c>
    </row>
    <row r="13" spans="1:8" s="114" customFormat="1" ht="12">
      <c r="A13" s="154" t="s">
        <v>28</v>
      </c>
      <c r="B13" s="154"/>
      <c r="C13" s="142"/>
      <c r="D13" s="482" t="s">
        <v>42</v>
      </c>
      <c r="E13" s="156">
        <f t="shared" ref="E13:G14" si="0">E14</f>
        <v>812900</v>
      </c>
      <c r="F13" s="157">
        <f t="shared" si="0"/>
        <v>0</v>
      </c>
      <c r="G13" s="157">
        <f t="shared" si="0"/>
        <v>812900</v>
      </c>
      <c r="H13" s="167">
        <f t="shared" ref="H13:H14" si="1">G13/E13*100</f>
        <v>100</v>
      </c>
    </row>
    <row r="14" spans="1:8" s="114" customFormat="1" ht="12">
      <c r="A14" s="735"/>
      <c r="B14" s="132" t="s">
        <v>185</v>
      </c>
      <c r="C14" s="485"/>
      <c r="D14" s="101" t="s">
        <v>89</v>
      </c>
      <c r="E14" s="134">
        <f t="shared" si="0"/>
        <v>812900</v>
      </c>
      <c r="F14" s="135">
        <f t="shared" si="0"/>
        <v>0</v>
      </c>
      <c r="G14" s="135">
        <f t="shared" si="0"/>
        <v>812900</v>
      </c>
      <c r="H14" s="158">
        <f t="shared" si="1"/>
        <v>100</v>
      </c>
    </row>
    <row r="15" spans="1:8" s="114" customFormat="1" ht="24">
      <c r="A15" s="736"/>
      <c r="B15" s="485"/>
      <c r="C15" s="132" t="s">
        <v>37</v>
      </c>
      <c r="D15" s="101" t="s">
        <v>75</v>
      </c>
      <c r="E15" s="134">
        <f>'zał 1'!E17</f>
        <v>812900</v>
      </c>
      <c r="F15" s="135"/>
      <c r="G15" s="135">
        <v>812900</v>
      </c>
      <c r="H15" s="158">
        <f>G15/E15*100</f>
        <v>100</v>
      </c>
    </row>
    <row r="16" spans="1:8" s="114" customFormat="1" ht="12">
      <c r="A16" s="159" t="s">
        <v>29</v>
      </c>
      <c r="B16" s="489"/>
      <c r="C16" s="160"/>
      <c r="D16" s="161" t="s">
        <v>43</v>
      </c>
      <c r="E16" s="156">
        <f>E18</f>
        <v>247000</v>
      </c>
      <c r="F16" s="157">
        <f>F18</f>
        <v>119746.74</v>
      </c>
      <c r="G16" s="135">
        <v>0</v>
      </c>
      <c r="H16" s="167">
        <f t="shared" ref="H16:H37" si="2">F16/E16*100</f>
        <v>48.48046153846154</v>
      </c>
    </row>
    <row r="17" spans="1:8" s="114" customFormat="1" ht="12">
      <c r="A17" s="746" t="s">
        <v>27</v>
      </c>
      <c r="B17" s="132" t="s">
        <v>81</v>
      </c>
      <c r="C17" s="485"/>
      <c r="D17" s="101" t="s">
        <v>82</v>
      </c>
      <c r="E17" s="134">
        <f>E18</f>
        <v>247000</v>
      </c>
      <c r="F17" s="135">
        <f>F18</f>
        <v>119746.74</v>
      </c>
      <c r="G17" s="135">
        <v>0</v>
      </c>
      <c r="H17" s="158">
        <f t="shared" si="2"/>
        <v>48.48046153846154</v>
      </c>
    </row>
    <row r="18" spans="1:8" s="114" customFormat="1" ht="36">
      <c r="A18" s="746"/>
      <c r="B18" s="485"/>
      <c r="C18" s="485">
        <v>2460</v>
      </c>
      <c r="D18" s="101" t="s">
        <v>83</v>
      </c>
      <c r="E18" s="134">
        <f>'zał 1'!E20</f>
        <v>247000</v>
      </c>
      <c r="F18" s="135">
        <v>119746.74</v>
      </c>
      <c r="G18" s="135">
        <v>0</v>
      </c>
      <c r="H18" s="158">
        <f t="shared" si="2"/>
        <v>48.48046153846154</v>
      </c>
    </row>
    <row r="19" spans="1:8" s="114" customFormat="1" ht="12">
      <c r="A19" s="160">
        <v>150</v>
      </c>
      <c r="B19" s="485"/>
      <c r="C19" s="485"/>
      <c r="D19" s="628" t="s">
        <v>180</v>
      </c>
      <c r="E19" s="156">
        <f>E20</f>
        <v>63375</v>
      </c>
      <c r="F19" s="157">
        <f>F20</f>
        <v>14607.2</v>
      </c>
      <c r="G19" s="135">
        <v>0</v>
      </c>
      <c r="H19" s="167">
        <f t="shared" si="2"/>
        <v>23.048836291913215</v>
      </c>
    </row>
    <row r="20" spans="1:8" s="114" customFormat="1" ht="12">
      <c r="A20" s="734"/>
      <c r="B20" s="485">
        <v>15011</v>
      </c>
      <c r="C20" s="485"/>
      <c r="D20" s="91" t="s">
        <v>219</v>
      </c>
      <c r="E20" s="134">
        <f>E21</f>
        <v>63375</v>
      </c>
      <c r="F20" s="135">
        <f>F21</f>
        <v>14607.2</v>
      </c>
      <c r="G20" s="135">
        <v>0</v>
      </c>
      <c r="H20" s="158">
        <f t="shared" si="2"/>
        <v>23.048836291913215</v>
      </c>
    </row>
    <row r="21" spans="1:8" s="114" customFormat="1" ht="36">
      <c r="A21" s="736"/>
      <c r="B21" s="485"/>
      <c r="C21" s="485">
        <v>8538</v>
      </c>
      <c r="D21" s="91" t="s">
        <v>309</v>
      </c>
      <c r="E21" s="134">
        <v>63375</v>
      </c>
      <c r="F21" s="135">
        <v>14607.2</v>
      </c>
      <c r="G21" s="135">
        <v>0</v>
      </c>
      <c r="H21" s="158">
        <f t="shared" si="2"/>
        <v>23.048836291913215</v>
      </c>
    </row>
    <row r="22" spans="1:8" s="114" customFormat="1" ht="12">
      <c r="A22" s="160">
        <v>600</v>
      </c>
      <c r="B22" s="160"/>
      <c r="C22" s="160"/>
      <c r="D22" s="161" t="s">
        <v>84</v>
      </c>
      <c r="E22" s="156">
        <f>E23</f>
        <v>114300</v>
      </c>
      <c r="F22" s="157">
        <f>F23</f>
        <v>17127.080000000002</v>
      </c>
      <c r="G22" s="135">
        <v>0</v>
      </c>
      <c r="H22" s="167">
        <f t="shared" si="2"/>
        <v>14.984321959755032</v>
      </c>
    </row>
    <row r="23" spans="1:8" s="114" customFormat="1" ht="12">
      <c r="A23" s="734"/>
      <c r="B23" s="477">
        <v>60014</v>
      </c>
      <c r="C23" s="477"/>
      <c r="D23" s="91" t="s">
        <v>54</v>
      </c>
      <c r="E23" s="129">
        <f>SUM(E24:E29)</f>
        <v>114300</v>
      </c>
      <c r="F23" s="135">
        <f>SUM(F24:F29)</f>
        <v>17127.080000000002</v>
      </c>
      <c r="G23" s="135">
        <v>0</v>
      </c>
      <c r="H23" s="158">
        <f t="shared" si="2"/>
        <v>14.984321959755032</v>
      </c>
    </row>
    <row r="24" spans="1:8" s="114" customFormat="1" ht="37.5" customHeight="1">
      <c r="A24" s="735"/>
      <c r="B24" s="738"/>
      <c r="C24" s="152" t="s">
        <v>36</v>
      </c>
      <c r="D24" s="91" t="s">
        <v>209</v>
      </c>
      <c r="E24" s="129">
        <v>10200</v>
      </c>
      <c r="F24" s="135">
        <v>5100</v>
      </c>
      <c r="G24" s="135">
        <v>0</v>
      </c>
      <c r="H24" s="158">
        <f t="shared" si="2"/>
        <v>50</v>
      </c>
    </row>
    <row r="25" spans="1:8" s="114" customFormat="1" ht="12">
      <c r="A25" s="735"/>
      <c r="B25" s="738"/>
      <c r="C25" s="152" t="s">
        <v>70</v>
      </c>
      <c r="D25" s="91" t="s">
        <v>72</v>
      </c>
      <c r="E25" s="129">
        <v>510</v>
      </c>
      <c r="F25" s="135">
        <v>510.04</v>
      </c>
      <c r="G25" s="135">
        <v>0</v>
      </c>
      <c r="H25" s="158">
        <f t="shared" si="2"/>
        <v>100.00784313725491</v>
      </c>
    </row>
    <row r="26" spans="1:8" s="114" customFormat="1" ht="12">
      <c r="A26" s="735"/>
      <c r="B26" s="738"/>
      <c r="C26" s="152" t="s">
        <v>442</v>
      </c>
      <c r="D26" s="91" t="s">
        <v>448</v>
      </c>
      <c r="E26" s="129"/>
      <c r="F26" s="135">
        <v>2.2200000000000002</v>
      </c>
      <c r="G26" s="135">
        <v>0</v>
      </c>
      <c r="H26" s="158"/>
    </row>
    <row r="27" spans="1:8" s="114" customFormat="1" ht="12">
      <c r="A27" s="735"/>
      <c r="B27" s="738"/>
      <c r="C27" s="152" t="s">
        <v>64</v>
      </c>
      <c r="D27" s="91" t="s">
        <v>74</v>
      </c>
      <c r="E27" s="129">
        <v>400</v>
      </c>
      <c r="F27" s="135">
        <v>1234.29</v>
      </c>
      <c r="G27" s="135">
        <v>0</v>
      </c>
      <c r="H27" s="158">
        <f t="shared" si="2"/>
        <v>308.57249999999999</v>
      </c>
    </row>
    <row r="28" spans="1:8" s="114" customFormat="1" ht="12">
      <c r="A28" s="735"/>
      <c r="B28" s="738"/>
      <c r="C28" s="152" t="s">
        <v>71</v>
      </c>
      <c r="D28" s="91" t="s">
        <v>73</v>
      </c>
      <c r="E28" s="129">
        <v>3190</v>
      </c>
      <c r="F28" s="135">
        <v>10280.530000000001</v>
      </c>
      <c r="G28" s="135">
        <v>0</v>
      </c>
      <c r="H28" s="158">
        <f t="shared" si="2"/>
        <v>322.27366771159876</v>
      </c>
    </row>
    <row r="29" spans="1:8" s="114" customFormat="1" ht="24">
      <c r="A29" s="736"/>
      <c r="B29" s="750"/>
      <c r="C29" s="152">
        <v>2440</v>
      </c>
      <c r="D29" s="91" t="s">
        <v>90</v>
      </c>
      <c r="E29" s="129">
        <v>100000</v>
      </c>
      <c r="F29" s="135">
        <v>0</v>
      </c>
      <c r="G29" s="135">
        <v>0</v>
      </c>
      <c r="H29" s="158">
        <f t="shared" si="2"/>
        <v>0</v>
      </c>
    </row>
    <row r="30" spans="1:8" s="114" customFormat="1" ht="12">
      <c r="A30" s="160">
        <v>700</v>
      </c>
      <c r="B30" s="160"/>
      <c r="C30" s="160"/>
      <c r="D30" s="161" t="s">
        <v>44</v>
      </c>
      <c r="E30" s="156">
        <f>E31</f>
        <v>1186686</v>
      </c>
      <c r="F30" s="157">
        <f>F31</f>
        <v>56752.86</v>
      </c>
      <c r="G30" s="157">
        <f>G31</f>
        <v>757956.11</v>
      </c>
      <c r="H30" s="167">
        <f>(F30+G30)/E30*100</f>
        <v>68.654131758527527</v>
      </c>
    </row>
    <row r="31" spans="1:8" s="114" customFormat="1" ht="12">
      <c r="A31" s="746" t="s">
        <v>27</v>
      </c>
      <c r="B31" s="485">
        <v>70005</v>
      </c>
      <c r="C31" s="485"/>
      <c r="D31" s="101" t="s">
        <v>85</v>
      </c>
      <c r="E31" s="134">
        <f>E32+E33+E34+E36+E37</f>
        <v>1186686</v>
      </c>
      <c r="F31" s="135">
        <f>SUM(F32:F37)</f>
        <v>56752.86</v>
      </c>
      <c r="G31" s="135">
        <f>SUM(G32:G37)</f>
        <v>757956.11</v>
      </c>
      <c r="H31" s="158">
        <f>(F31+G31)/E31*100</f>
        <v>68.654131758527527</v>
      </c>
    </row>
    <row r="32" spans="1:8" s="114" customFormat="1" ht="24">
      <c r="A32" s="746"/>
      <c r="B32" s="746"/>
      <c r="C32" s="152" t="s">
        <v>35</v>
      </c>
      <c r="D32" s="91" t="s">
        <v>38</v>
      </c>
      <c r="E32" s="129">
        <v>17207</v>
      </c>
      <c r="F32" s="135">
        <v>41744.39</v>
      </c>
      <c r="G32" s="135">
        <v>0</v>
      </c>
      <c r="H32" s="158">
        <f t="shared" si="2"/>
        <v>242.60120881036786</v>
      </c>
    </row>
    <row r="33" spans="1:8" s="114" customFormat="1" ht="36" customHeight="1">
      <c r="A33" s="746"/>
      <c r="B33" s="746"/>
      <c r="C33" s="152" t="s">
        <v>36</v>
      </c>
      <c r="D33" s="91" t="s">
        <v>209</v>
      </c>
      <c r="E33" s="129">
        <v>40000</v>
      </c>
      <c r="F33" s="135">
        <v>13080.64</v>
      </c>
      <c r="G33" s="135">
        <v>0</v>
      </c>
      <c r="H33" s="158">
        <f t="shared" si="2"/>
        <v>32.701599999999999</v>
      </c>
    </row>
    <row r="34" spans="1:8" s="114" customFormat="1" ht="24">
      <c r="A34" s="746"/>
      <c r="B34" s="746"/>
      <c r="C34" s="152" t="s">
        <v>37</v>
      </c>
      <c r="D34" s="91" t="s">
        <v>75</v>
      </c>
      <c r="E34" s="129">
        <v>1114479</v>
      </c>
      <c r="F34" s="135"/>
      <c r="G34" s="135">
        <v>757956.11</v>
      </c>
      <c r="H34" s="158">
        <f>G34/E34*100</f>
        <v>68.00990507672195</v>
      </c>
    </row>
    <row r="35" spans="1:8" s="114" customFormat="1" ht="12">
      <c r="A35" s="746"/>
      <c r="B35" s="746"/>
      <c r="C35" s="152" t="s">
        <v>442</v>
      </c>
      <c r="D35" s="91" t="s">
        <v>448</v>
      </c>
      <c r="E35" s="129"/>
      <c r="F35" s="135">
        <v>56.7</v>
      </c>
      <c r="G35" s="135">
        <v>0</v>
      </c>
      <c r="H35" s="158"/>
    </row>
    <row r="36" spans="1:8" s="114" customFormat="1" ht="12">
      <c r="A36" s="746"/>
      <c r="B36" s="746"/>
      <c r="C36" s="152" t="s">
        <v>64</v>
      </c>
      <c r="D36" s="91" t="s">
        <v>74</v>
      </c>
      <c r="E36" s="129">
        <v>10000</v>
      </c>
      <c r="F36" s="135">
        <v>1670.9</v>
      </c>
      <c r="G36" s="135">
        <v>0</v>
      </c>
      <c r="H36" s="158">
        <f t="shared" si="2"/>
        <v>16.709000000000003</v>
      </c>
    </row>
    <row r="37" spans="1:8" s="114" customFormat="1" ht="12">
      <c r="A37" s="746"/>
      <c r="B37" s="746"/>
      <c r="C37" s="152" t="s">
        <v>71</v>
      </c>
      <c r="D37" s="91" t="s">
        <v>73</v>
      </c>
      <c r="E37" s="129">
        <v>5000</v>
      </c>
      <c r="F37" s="135">
        <v>200.23</v>
      </c>
      <c r="G37" s="135">
        <v>0</v>
      </c>
      <c r="H37" s="158">
        <f t="shared" si="2"/>
        <v>4.0045999999999999</v>
      </c>
    </row>
    <row r="38" spans="1:8" s="114" customFormat="1" ht="12">
      <c r="A38" s="142">
        <v>750</v>
      </c>
      <c r="B38" s="142"/>
      <c r="C38" s="142"/>
      <c r="D38" s="161" t="s">
        <v>46</v>
      </c>
      <c r="E38" s="156">
        <f>E39</f>
        <v>186420</v>
      </c>
      <c r="F38" s="157">
        <f>F39</f>
        <v>109059.43</v>
      </c>
      <c r="G38" s="135">
        <v>0</v>
      </c>
      <c r="H38" s="167">
        <f t="shared" ref="H38:H40" si="3">F38/E38*100</f>
        <v>58.502000858277</v>
      </c>
    </row>
    <row r="39" spans="1:8" s="114" customFormat="1" ht="12">
      <c r="A39" s="731"/>
      <c r="B39" s="487">
        <v>75020</v>
      </c>
      <c r="C39" s="487"/>
      <c r="D39" s="101" t="s">
        <v>92</v>
      </c>
      <c r="E39" s="134">
        <f>E40+E43</f>
        <v>186420</v>
      </c>
      <c r="F39" s="135">
        <f>SUM(F40:F44)</f>
        <v>109059.43</v>
      </c>
      <c r="G39" s="135">
        <v>0</v>
      </c>
      <c r="H39" s="158">
        <f t="shared" si="3"/>
        <v>58.502000858277</v>
      </c>
    </row>
    <row r="40" spans="1:8" s="114" customFormat="1" ht="12">
      <c r="A40" s="732"/>
      <c r="B40" s="731"/>
      <c r="C40" s="83" t="s">
        <v>52</v>
      </c>
      <c r="D40" s="99" t="s">
        <v>53</v>
      </c>
      <c r="E40" s="129">
        <v>16420</v>
      </c>
      <c r="F40" s="135">
        <v>1161.07</v>
      </c>
      <c r="G40" s="135">
        <v>0</v>
      </c>
      <c r="H40" s="158">
        <f t="shared" si="3"/>
        <v>7.0710718635809977</v>
      </c>
    </row>
    <row r="41" spans="1:8" s="114" customFormat="1" ht="12">
      <c r="A41" s="732"/>
      <c r="B41" s="732"/>
      <c r="C41" s="149" t="s">
        <v>64</v>
      </c>
      <c r="D41" s="101" t="s">
        <v>74</v>
      </c>
      <c r="E41" s="134"/>
      <c r="F41" s="135">
        <v>308.86</v>
      </c>
      <c r="G41" s="135">
        <v>0</v>
      </c>
      <c r="H41" s="158"/>
    </row>
    <row r="42" spans="1:8" s="114" customFormat="1" ht="12">
      <c r="A42" s="732"/>
      <c r="B42" s="732"/>
      <c r="C42" s="149" t="s">
        <v>71</v>
      </c>
      <c r="D42" s="101" t="s">
        <v>73</v>
      </c>
      <c r="E42" s="134"/>
      <c r="F42" s="135">
        <v>11884.08</v>
      </c>
      <c r="G42" s="135">
        <v>0</v>
      </c>
      <c r="H42" s="158"/>
    </row>
    <row r="43" spans="1:8" s="114" customFormat="1" ht="24">
      <c r="A43" s="732"/>
      <c r="B43" s="732"/>
      <c r="C43" s="485">
        <v>2440</v>
      </c>
      <c r="D43" s="136" t="s">
        <v>156</v>
      </c>
      <c r="E43" s="134">
        <v>170000</v>
      </c>
      <c r="F43" s="135">
        <v>95420.3</v>
      </c>
      <c r="G43" s="135">
        <v>0</v>
      </c>
      <c r="H43" s="158">
        <f t="shared" ref="H43" si="4">F43/E43*100</f>
        <v>56.129588235294115</v>
      </c>
    </row>
    <row r="44" spans="1:8" s="114" customFormat="1" ht="22.5">
      <c r="A44" s="733"/>
      <c r="B44" s="733"/>
      <c r="C44" s="485">
        <v>2707</v>
      </c>
      <c r="D44" s="583" t="s">
        <v>449</v>
      </c>
      <c r="E44" s="134">
        <v>0</v>
      </c>
      <c r="F44" s="135">
        <v>285.12</v>
      </c>
      <c r="G44" s="135">
        <v>0</v>
      </c>
      <c r="H44" s="158"/>
    </row>
    <row r="45" spans="1:8" s="114" customFormat="1" ht="36">
      <c r="A45" s="165">
        <v>756</v>
      </c>
      <c r="B45" s="160"/>
      <c r="C45" s="160"/>
      <c r="D45" s="161" t="s">
        <v>76</v>
      </c>
      <c r="E45" s="156">
        <f>E46+E52</f>
        <v>5143439</v>
      </c>
      <c r="F45" s="157">
        <f>F46+F52</f>
        <v>2628453.0099999998</v>
      </c>
      <c r="G45" s="135">
        <v>0</v>
      </c>
      <c r="H45" s="167">
        <f t="shared" ref="H45:H67" si="5">F45/E45*100</f>
        <v>51.10302678810811</v>
      </c>
    </row>
    <row r="46" spans="1:8" s="114" customFormat="1" ht="24">
      <c r="A46" s="734" t="s">
        <v>27</v>
      </c>
      <c r="B46" s="306">
        <v>75618</v>
      </c>
      <c r="C46" s="307"/>
      <c r="D46" s="308" t="s">
        <v>311</v>
      </c>
      <c r="E46" s="566">
        <f>E47+E48+E50+E51</f>
        <v>842000</v>
      </c>
      <c r="F46" s="565">
        <f>F47+F48+F50+F51+F49</f>
        <v>603236.67999999993</v>
      </c>
      <c r="G46" s="135">
        <v>0</v>
      </c>
      <c r="H46" s="158">
        <f t="shared" si="5"/>
        <v>71.64331116389549</v>
      </c>
    </row>
    <row r="47" spans="1:8" s="114" customFormat="1" ht="12">
      <c r="A47" s="735"/>
      <c r="B47" s="742"/>
      <c r="C47" s="297" t="s">
        <v>33</v>
      </c>
      <c r="D47" s="295" t="s">
        <v>34</v>
      </c>
      <c r="E47" s="296">
        <v>700000</v>
      </c>
      <c r="F47" s="164">
        <v>446975.1</v>
      </c>
      <c r="G47" s="135">
        <v>0</v>
      </c>
      <c r="H47" s="158">
        <f t="shared" si="5"/>
        <v>63.853585714285707</v>
      </c>
    </row>
    <row r="48" spans="1:8" s="114" customFormat="1" ht="24" customHeight="1">
      <c r="A48" s="735"/>
      <c r="B48" s="743"/>
      <c r="C48" s="297" t="s">
        <v>312</v>
      </c>
      <c r="D48" s="295" t="s">
        <v>313</v>
      </c>
      <c r="E48" s="296">
        <v>139000</v>
      </c>
      <c r="F48" s="164">
        <v>141973.85999999999</v>
      </c>
      <c r="G48" s="135">
        <v>0</v>
      </c>
      <c r="H48" s="158">
        <f t="shared" si="5"/>
        <v>102.13946762589927</v>
      </c>
    </row>
    <row r="49" spans="1:8" s="114" customFormat="1" ht="12">
      <c r="A49" s="735"/>
      <c r="B49" s="743"/>
      <c r="C49" s="297" t="s">
        <v>52</v>
      </c>
      <c r="D49" s="99" t="s">
        <v>53</v>
      </c>
      <c r="E49" s="296"/>
      <c r="F49" s="164">
        <v>12159.73</v>
      </c>
      <c r="G49" s="135">
        <v>0</v>
      </c>
      <c r="H49" s="158"/>
    </row>
    <row r="50" spans="1:8" s="114" customFormat="1" ht="36" customHeight="1">
      <c r="A50" s="735"/>
      <c r="B50" s="743"/>
      <c r="C50" s="298" t="s">
        <v>36</v>
      </c>
      <c r="D50" s="91" t="s">
        <v>209</v>
      </c>
      <c r="E50" s="296">
        <v>3000</v>
      </c>
      <c r="F50" s="164">
        <v>1950</v>
      </c>
      <c r="G50" s="135">
        <v>0</v>
      </c>
      <c r="H50" s="158">
        <f t="shared" si="5"/>
        <v>65</v>
      </c>
    </row>
    <row r="51" spans="1:8" s="114" customFormat="1" ht="12">
      <c r="A51" s="735"/>
      <c r="B51" s="744"/>
      <c r="C51" s="563" t="s">
        <v>442</v>
      </c>
      <c r="D51" s="91" t="s">
        <v>448</v>
      </c>
      <c r="E51" s="296"/>
      <c r="F51" s="164">
        <v>177.99</v>
      </c>
      <c r="G51" s="135">
        <v>0</v>
      </c>
      <c r="H51" s="158"/>
    </row>
    <row r="52" spans="1:8" s="114" customFormat="1" ht="24">
      <c r="A52" s="735"/>
      <c r="B52" s="305">
        <v>75622</v>
      </c>
      <c r="C52" s="484"/>
      <c r="D52" s="162" t="s">
        <v>95</v>
      </c>
      <c r="E52" s="163">
        <f>E53+E54</f>
        <v>4301439</v>
      </c>
      <c r="F52" s="164">
        <f>F53+F54</f>
        <v>2025216.33</v>
      </c>
      <c r="G52" s="135">
        <v>0</v>
      </c>
      <c r="H52" s="158">
        <f t="shared" si="5"/>
        <v>47.082298040260483</v>
      </c>
    </row>
    <row r="53" spans="1:8" s="114" customFormat="1" ht="12">
      <c r="A53" s="735"/>
      <c r="B53" s="740"/>
      <c r="C53" s="132" t="s">
        <v>31</v>
      </c>
      <c r="D53" s="133" t="s">
        <v>30</v>
      </c>
      <c r="E53" s="129">
        <v>4151439</v>
      </c>
      <c r="F53" s="135">
        <v>1929235</v>
      </c>
      <c r="G53" s="135">
        <v>0</v>
      </c>
      <c r="H53" s="158">
        <f t="shared" si="5"/>
        <v>46.471476516937862</v>
      </c>
    </row>
    <row r="54" spans="1:8" s="114" customFormat="1" ht="12">
      <c r="A54" s="736"/>
      <c r="B54" s="740"/>
      <c r="C54" s="132" t="s">
        <v>67</v>
      </c>
      <c r="D54" s="133" t="s">
        <v>68</v>
      </c>
      <c r="E54" s="129">
        <v>150000</v>
      </c>
      <c r="F54" s="135">
        <v>95981.33</v>
      </c>
      <c r="G54" s="135">
        <v>0</v>
      </c>
      <c r="H54" s="158">
        <f t="shared" si="5"/>
        <v>63.987553333333338</v>
      </c>
    </row>
    <row r="55" spans="1:8" s="114" customFormat="1" ht="12">
      <c r="A55" s="294">
        <v>758</v>
      </c>
      <c r="B55" s="299"/>
      <c r="C55" s="309"/>
      <c r="D55" s="310" t="s">
        <v>48</v>
      </c>
      <c r="E55" s="300">
        <f>E56+E58+E60+E62</f>
        <v>21136201</v>
      </c>
      <c r="F55" s="157">
        <f>F56+F58+F60+F62</f>
        <v>12379549.710000001</v>
      </c>
      <c r="G55" s="135">
        <v>0</v>
      </c>
      <c r="H55" s="167">
        <f t="shared" si="5"/>
        <v>58.570363283354475</v>
      </c>
    </row>
    <row r="56" spans="1:8" s="114" customFormat="1" ht="12">
      <c r="A56" s="741"/>
      <c r="B56" s="477">
        <v>75801</v>
      </c>
      <c r="C56" s="152"/>
      <c r="D56" s="99" t="s">
        <v>96</v>
      </c>
      <c r="E56" s="129">
        <f>E57</f>
        <v>15002419</v>
      </c>
      <c r="F56" s="135">
        <f>F57</f>
        <v>9262256</v>
      </c>
      <c r="G56" s="135">
        <v>0</v>
      </c>
      <c r="H56" s="158">
        <f t="shared" si="5"/>
        <v>61.738416984620947</v>
      </c>
    </row>
    <row r="57" spans="1:8" s="114" customFormat="1" ht="12">
      <c r="A57" s="741"/>
      <c r="B57" s="477"/>
      <c r="C57" s="477">
        <v>2920</v>
      </c>
      <c r="D57" s="99" t="s">
        <v>32</v>
      </c>
      <c r="E57" s="129">
        <v>15002419</v>
      </c>
      <c r="F57" s="135">
        <v>9262256</v>
      </c>
      <c r="G57" s="135">
        <v>0</v>
      </c>
      <c r="H57" s="158">
        <f t="shared" si="5"/>
        <v>61.738416984620947</v>
      </c>
    </row>
    <row r="58" spans="1:8" s="114" customFormat="1" ht="12">
      <c r="A58" s="741"/>
      <c r="B58" s="477">
        <v>75803</v>
      </c>
      <c r="C58" s="152"/>
      <c r="D58" s="99" t="s">
        <v>97</v>
      </c>
      <c r="E58" s="129">
        <f>E59</f>
        <v>4950372</v>
      </c>
      <c r="F58" s="135">
        <f>F59</f>
        <v>2475186</v>
      </c>
      <c r="G58" s="135">
        <v>0</v>
      </c>
      <c r="H58" s="158">
        <f t="shared" si="5"/>
        <v>50</v>
      </c>
    </row>
    <row r="59" spans="1:8" s="114" customFormat="1" ht="12">
      <c r="A59" s="741"/>
      <c r="B59" s="477"/>
      <c r="C59" s="477">
        <v>2920</v>
      </c>
      <c r="D59" s="99" t="s">
        <v>32</v>
      </c>
      <c r="E59" s="129">
        <v>4950372</v>
      </c>
      <c r="F59" s="135">
        <v>2475186</v>
      </c>
      <c r="G59" s="135">
        <v>0</v>
      </c>
      <c r="H59" s="158">
        <f t="shared" si="5"/>
        <v>50</v>
      </c>
    </row>
    <row r="60" spans="1:8" s="114" customFormat="1" ht="12">
      <c r="A60" s="741"/>
      <c r="B60" s="477">
        <v>75814</v>
      </c>
      <c r="C60" s="477"/>
      <c r="D60" s="99" t="s">
        <v>98</v>
      </c>
      <c r="E60" s="129">
        <f>E61</f>
        <v>37477</v>
      </c>
      <c r="F60" s="135">
        <f>F61</f>
        <v>69143.710000000006</v>
      </c>
      <c r="G60" s="135">
        <v>0</v>
      </c>
      <c r="H60" s="158">
        <f t="shared" si="5"/>
        <v>184.49638444912881</v>
      </c>
    </row>
    <row r="61" spans="1:8" s="114" customFormat="1" ht="12">
      <c r="A61" s="741"/>
      <c r="B61" s="477"/>
      <c r="C61" s="152" t="s">
        <v>64</v>
      </c>
      <c r="D61" s="99" t="s">
        <v>74</v>
      </c>
      <c r="E61" s="129">
        <v>37477</v>
      </c>
      <c r="F61" s="135">
        <v>69143.710000000006</v>
      </c>
      <c r="G61" s="135">
        <v>0</v>
      </c>
      <c r="H61" s="158">
        <f t="shared" si="5"/>
        <v>184.49638444912881</v>
      </c>
    </row>
    <row r="62" spans="1:8" s="114" customFormat="1" ht="12">
      <c r="A62" s="741"/>
      <c r="B62" s="477">
        <v>75832</v>
      </c>
      <c r="C62" s="152"/>
      <c r="D62" s="99" t="s">
        <v>99</v>
      </c>
      <c r="E62" s="129">
        <f>E63</f>
        <v>1145933</v>
      </c>
      <c r="F62" s="135">
        <f>F63</f>
        <v>572964</v>
      </c>
      <c r="G62" s="135">
        <v>0</v>
      </c>
      <c r="H62" s="158">
        <f t="shared" si="5"/>
        <v>49.999781837158018</v>
      </c>
    </row>
    <row r="63" spans="1:8" s="114" customFormat="1" ht="12">
      <c r="A63" s="741"/>
      <c r="B63" s="477"/>
      <c r="C63" s="477">
        <v>2920</v>
      </c>
      <c r="D63" s="99" t="s">
        <v>32</v>
      </c>
      <c r="E63" s="129">
        <v>1145933</v>
      </c>
      <c r="F63" s="135">
        <v>572964</v>
      </c>
      <c r="G63" s="135">
        <v>0</v>
      </c>
      <c r="H63" s="158">
        <f t="shared" si="5"/>
        <v>49.999781837158018</v>
      </c>
    </row>
    <row r="64" spans="1:8" s="114" customFormat="1" ht="12">
      <c r="A64" s="165">
        <v>801</v>
      </c>
      <c r="B64" s="160"/>
      <c r="C64" s="160"/>
      <c r="D64" s="489" t="s">
        <v>69</v>
      </c>
      <c r="E64" s="156">
        <f>E65+E69+E80+E86+E95</f>
        <v>160937</v>
      </c>
      <c r="F64" s="626">
        <f>F65+F69+F80+F86+F95</f>
        <v>148190.9</v>
      </c>
      <c r="G64" s="626">
        <f>G65+G69+G80+G86+G95</f>
        <v>169.33</v>
      </c>
      <c r="H64" s="167">
        <f>(F64+G64)/E64*100</f>
        <v>92.185283682434729</v>
      </c>
    </row>
    <row r="65" spans="1:8" s="114" customFormat="1" ht="12">
      <c r="A65" s="734"/>
      <c r="B65" s="488">
        <v>80102</v>
      </c>
      <c r="C65" s="485"/>
      <c r="D65" s="133" t="s">
        <v>56</v>
      </c>
      <c r="E65" s="134">
        <f>SUM(E66:E67)</f>
        <v>5650</v>
      </c>
      <c r="F65" s="135">
        <f>SUM(F66:F68)</f>
        <v>4568.53</v>
      </c>
      <c r="G65" s="135">
        <v>0</v>
      </c>
      <c r="H65" s="158">
        <f t="shared" si="5"/>
        <v>80.858938053097347</v>
      </c>
    </row>
    <row r="66" spans="1:8" s="114" customFormat="1" ht="36.75" customHeight="1">
      <c r="A66" s="735"/>
      <c r="B66" s="747"/>
      <c r="C66" s="152" t="s">
        <v>36</v>
      </c>
      <c r="D66" s="91" t="s">
        <v>209</v>
      </c>
      <c r="E66" s="129">
        <v>5200</v>
      </c>
      <c r="F66" s="135">
        <v>3800</v>
      </c>
      <c r="G66" s="135">
        <v>0</v>
      </c>
      <c r="H66" s="158">
        <f t="shared" si="5"/>
        <v>73.076923076923066</v>
      </c>
    </row>
    <row r="67" spans="1:8" s="114" customFormat="1" ht="12">
      <c r="A67" s="735"/>
      <c r="B67" s="748"/>
      <c r="C67" s="152" t="s">
        <v>64</v>
      </c>
      <c r="D67" s="91" t="s">
        <v>74</v>
      </c>
      <c r="E67" s="129">
        <v>450</v>
      </c>
      <c r="F67" s="135">
        <v>438.53</v>
      </c>
      <c r="G67" s="135">
        <v>0</v>
      </c>
      <c r="H67" s="158">
        <f t="shared" si="5"/>
        <v>97.451111111111118</v>
      </c>
    </row>
    <row r="68" spans="1:8" s="114" customFormat="1" ht="12">
      <c r="A68" s="735"/>
      <c r="B68" s="749"/>
      <c r="C68" s="152" t="s">
        <v>71</v>
      </c>
      <c r="D68" s="91" t="s">
        <v>73</v>
      </c>
      <c r="E68" s="129"/>
      <c r="F68" s="135">
        <v>330</v>
      </c>
      <c r="G68" s="135">
        <v>0</v>
      </c>
      <c r="H68" s="158"/>
    </row>
    <row r="69" spans="1:8" s="114" customFormat="1" ht="12">
      <c r="A69" s="735"/>
      <c r="B69" s="485">
        <v>80120</v>
      </c>
      <c r="C69" s="477"/>
      <c r="D69" s="99" t="s">
        <v>62</v>
      </c>
      <c r="E69" s="302">
        <f>SUM(E70:E79)</f>
        <v>63089</v>
      </c>
      <c r="F69" s="564">
        <f>SUM(F70:F79)</f>
        <v>35441.430000000008</v>
      </c>
      <c r="G69" s="564">
        <f>SUM(G70:G79)</f>
        <v>169.33</v>
      </c>
      <c r="H69" s="158">
        <f>(F69+G69)/E69*100</f>
        <v>56.445275721599664</v>
      </c>
    </row>
    <row r="70" spans="1:8" s="114" customFormat="1" ht="12">
      <c r="A70" s="735"/>
      <c r="B70" s="734"/>
      <c r="C70" s="298" t="s">
        <v>52</v>
      </c>
      <c r="D70" s="99" t="s">
        <v>53</v>
      </c>
      <c r="E70" s="129">
        <v>560</v>
      </c>
      <c r="F70" s="135">
        <v>256.2</v>
      </c>
      <c r="G70" s="135">
        <v>0</v>
      </c>
      <c r="H70" s="158">
        <f t="shared" ref="H70:H72" si="6">F70/E70*100</f>
        <v>45.749999999999993</v>
      </c>
    </row>
    <row r="71" spans="1:8" s="114" customFormat="1" ht="36" customHeight="1">
      <c r="A71" s="735"/>
      <c r="B71" s="735"/>
      <c r="C71" s="298" t="s">
        <v>36</v>
      </c>
      <c r="D71" s="91" t="s">
        <v>209</v>
      </c>
      <c r="E71" s="129">
        <v>41200</v>
      </c>
      <c r="F71" s="135">
        <v>26109.47</v>
      </c>
      <c r="G71" s="135">
        <v>0</v>
      </c>
      <c r="H71" s="158">
        <f t="shared" si="6"/>
        <v>63.372499999999995</v>
      </c>
    </row>
    <row r="72" spans="1:8" s="114" customFormat="1" ht="12">
      <c r="A72" s="735"/>
      <c r="B72" s="735"/>
      <c r="C72" s="298" t="s">
        <v>70</v>
      </c>
      <c r="D72" s="91" t="s">
        <v>72</v>
      </c>
      <c r="E72" s="129">
        <v>1500</v>
      </c>
      <c r="F72" s="135">
        <v>1768.2</v>
      </c>
      <c r="G72" s="135">
        <v>0</v>
      </c>
      <c r="H72" s="158">
        <f t="shared" si="6"/>
        <v>117.88000000000001</v>
      </c>
    </row>
    <row r="73" spans="1:8" s="114" customFormat="1" ht="12">
      <c r="A73" s="735"/>
      <c r="B73" s="735"/>
      <c r="C73" s="298" t="s">
        <v>444</v>
      </c>
      <c r="D73" s="91" t="s">
        <v>450</v>
      </c>
      <c r="E73" s="129">
        <v>0</v>
      </c>
      <c r="F73" s="135"/>
      <c r="G73" s="135">
        <v>169.33</v>
      </c>
      <c r="H73" s="158"/>
    </row>
    <row r="74" spans="1:8" s="114" customFormat="1" ht="24">
      <c r="A74" s="735"/>
      <c r="B74" s="735"/>
      <c r="C74" s="298" t="s">
        <v>446</v>
      </c>
      <c r="D74" s="567" t="s">
        <v>451</v>
      </c>
      <c r="E74" s="129">
        <v>0</v>
      </c>
      <c r="F74" s="135">
        <v>1469.2</v>
      </c>
      <c r="G74" s="135">
        <v>0</v>
      </c>
      <c r="H74" s="158"/>
    </row>
    <row r="75" spans="1:8" s="114" customFormat="1" ht="12">
      <c r="A75" s="735"/>
      <c r="B75" s="735"/>
      <c r="C75" s="298" t="s">
        <v>64</v>
      </c>
      <c r="D75" s="91" t="s">
        <v>74</v>
      </c>
      <c r="E75" s="129">
        <v>414</v>
      </c>
      <c r="F75" s="135">
        <v>632.58000000000004</v>
      </c>
      <c r="G75" s="135">
        <v>0</v>
      </c>
      <c r="H75" s="158">
        <f t="shared" ref="H75:H77" si="7">F75/E75*100</f>
        <v>152.79710144927537</v>
      </c>
    </row>
    <row r="76" spans="1:8" s="114" customFormat="1" ht="12">
      <c r="A76" s="735"/>
      <c r="B76" s="735"/>
      <c r="C76" s="298" t="s">
        <v>116</v>
      </c>
      <c r="D76" s="91" t="s">
        <v>188</v>
      </c>
      <c r="E76" s="129">
        <v>60</v>
      </c>
      <c r="F76" s="135">
        <v>0</v>
      </c>
      <c r="G76" s="135">
        <v>0</v>
      </c>
      <c r="H76" s="158">
        <f t="shared" si="7"/>
        <v>0</v>
      </c>
    </row>
    <row r="77" spans="1:8" s="114" customFormat="1" ht="12">
      <c r="A77" s="735"/>
      <c r="B77" s="735"/>
      <c r="C77" s="298" t="s">
        <v>71</v>
      </c>
      <c r="D77" s="91" t="s">
        <v>73</v>
      </c>
      <c r="E77" s="129">
        <v>372</v>
      </c>
      <c r="F77" s="135">
        <v>184.68</v>
      </c>
      <c r="G77" s="135">
        <v>0</v>
      </c>
      <c r="H77" s="158">
        <f t="shared" si="7"/>
        <v>49.645161290322584</v>
      </c>
    </row>
    <row r="78" spans="1:8" s="114" customFormat="1" ht="24" customHeight="1">
      <c r="A78" s="735"/>
      <c r="B78" s="735"/>
      <c r="C78" s="298">
        <v>2708</v>
      </c>
      <c r="D78" s="91" t="s">
        <v>314</v>
      </c>
      <c r="E78" s="129">
        <v>14844</v>
      </c>
      <c r="F78" s="135">
        <v>0</v>
      </c>
      <c r="G78" s="135">
        <v>0</v>
      </c>
      <c r="H78" s="158">
        <f t="shared" ref="H78:H79" si="8">F78/E78*100</f>
        <v>0</v>
      </c>
    </row>
    <row r="79" spans="1:8" s="114" customFormat="1" ht="24">
      <c r="A79" s="735"/>
      <c r="B79" s="736"/>
      <c r="C79" s="298">
        <v>2910</v>
      </c>
      <c r="D79" s="91" t="s">
        <v>151</v>
      </c>
      <c r="E79" s="129">
        <v>4139</v>
      </c>
      <c r="F79" s="135">
        <v>5021.1000000000004</v>
      </c>
      <c r="G79" s="135">
        <v>0</v>
      </c>
      <c r="H79" s="158">
        <f t="shared" si="8"/>
        <v>121.31191108963519</v>
      </c>
    </row>
    <row r="80" spans="1:8" s="114" customFormat="1" ht="12">
      <c r="A80" s="735"/>
      <c r="B80" s="486">
        <v>80123</v>
      </c>
      <c r="C80" s="477"/>
      <c r="D80" s="99" t="s">
        <v>57</v>
      </c>
      <c r="E80" s="302">
        <f>SUM(E81:E85)</f>
        <v>482</v>
      </c>
      <c r="F80" s="564">
        <f>SUM(F81:F85)</f>
        <v>1215.45</v>
      </c>
      <c r="G80" s="135">
        <v>0</v>
      </c>
      <c r="H80" s="158"/>
    </row>
    <row r="81" spans="1:8" s="114" customFormat="1" ht="12">
      <c r="A81" s="735"/>
      <c r="B81" s="734"/>
      <c r="C81" s="152" t="s">
        <v>52</v>
      </c>
      <c r="D81" s="99" t="s">
        <v>53</v>
      </c>
      <c r="E81" s="129">
        <v>20</v>
      </c>
      <c r="F81" s="135">
        <v>17.399999999999999</v>
      </c>
      <c r="G81" s="135">
        <v>0</v>
      </c>
      <c r="H81" s="158">
        <f t="shared" ref="H81:H98" si="9">F81/E81*100</f>
        <v>86.999999999999986</v>
      </c>
    </row>
    <row r="82" spans="1:8" s="114" customFormat="1" ht="36" customHeight="1">
      <c r="A82" s="735"/>
      <c r="B82" s="735"/>
      <c r="C82" s="152" t="s">
        <v>36</v>
      </c>
      <c r="D82" s="91" t="s">
        <v>209</v>
      </c>
      <c r="E82" s="129">
        <v>400</v>
      </c>
      <c r="F82" s="135">
        <v>1154.96</v>
      </c>
      <c r="G82" s="135">
        <v>0</v>
      </c>
      <c r="H82" s="158">
        <f t="shared" si="9"/>
        <v>288.74</v>
      </c>
    </row>
    <row r="83" spans="1:8" s="114" customFormat="1" ht="12">
      <c r="A83" s="735"/>
      <c r="B83" s="735"/>
      <c r="C83" s="152" t="s">
        <v>64</v>
      </c>
      <c r="D83" s="91" t="s">
        <v>74</v>
      </c>
      <c r="E83" s="129">
        <v>18</v>
      </c>
      <c r="F83" s="135">
        <v>33.57</v>
      </c>
      <c r="G83" s="135">
        <v>0</v>
      </c>
      <c r="H83" s="158">
        <f t="shared" si="9"/>
        <v>186.5</v>
      </c>
    </row>
    <row r="84" spans="1:8" s="114" customFormat="1" ht="12">
      <c r="A84" s="735"/>
      <c r="B84" s="735"/>
      <c r="C84" s="152" t="s">
        <v>116</v>
      </c>
      <c r="D84" s="91" t="s">
        <v>188</v>
      </c>
      <c r="E84" s="129">
        <v>20</v>
      </c>
      <c r="F84" s="135">
        <v>0</v>
      </c>
      <c r="G84" s="135">
        <v>0</v>
      </c>
      <c r="H84" s="158">
        <f t="shared" si="9"/>
        <v>0</v>
      </c>
    </row>
    <row r="85" spans="1:8" s="114" customFormat="1" ht="12">
      <c r="A85" s="735"/>
      <c r="B85" s="736"/>
      <c r="C85" s="152" t="s">
        <v>71</v>
      </c>
      <c r="D85" s="91" t="s">
        <v>73</v>
      </c>
      <c r="E85" s="129">
        <v>24</v>
      </c>
      <c r="F85" s="135">
        <v>9.52</v>
      </c>
      <c r="G85" s="135">
        <v>0</v>
      </c>
      <c r="H85" s="158">
        <f t="shared" si="9"/>
        <v>39.666666666666664</v>
      </c>
    </row>
    <row r="86" spans="1:8" s="114" customFormat="1" ht="12">
      <c r="A86" s="735"/>
      <c r="B86" s="485">
        <v>80130</v>
      </c>
      <c r="C86" s="477"/>
      <c r="D86" s="99" t="s">
        <v>58</v>
      </c>
      <c r="E86" s="302">
        <f>SUM(E87:E94)</f>
        <v>57013</v>
      </c>
      <c r="F86" s="564">
        <f>SUM(F87:F94)</f>
        <v>41899.279999999999</v>
      </c>
      <c r="G86" s="135">
        <v>0</v>
      </c>
      <c r="H86" s="158">
        <f t="shared" si="9"/>
        <v>73.49074772420326</v>
      </c>
    </row>
    <row r="87" spans="1:8" s="114" customFormat="1" ht="12">
      <c r="A87" s="735"/>
      <c r="B87" s="734"/>
      <c r="C87" s="298" t="s">
        <v>52</v>
      </c>
      <c r="D87" s="99" t="s">
        <v>53</v>
      </c>
      <c r="E87" s="129">
        <v>2478</v>
      </c>
      <c r="F87" s="135">
        <v>540.4</v>
      </c>
      <c r="G87" s="135">
        <v>0</v>
      </c>
      <c r="H87" s="158">
        <f t="shared" si="9"/>
        <v>21.807909604519775</v>
      </c>
    </row>
    <row r="88" spans="1:8" s="114" customFormat="1" ht="36" customHeight="1">
      <c r="A88" s="735"/>
      <c r="B88" s="735"/>
      <c r="C88" s="298" t="s">
        <v>36</v>
      </c>
      <c r="D88" s="91" t="s">
        <v>209</v>
      </c>
      <c r="E88" s="129">
        <v>32998</v>
      </c>
      <c r="F88" s="135">
        <v>22478.48</v>
      </c>
      <c r="G88" s="135">
        <v>0</v>
      </c>
      <c r="H88" s="158">
        <f t="shared" si="9"/>
        <v>68.120734589975157</v>
      </c>
    </row>
    <row r="89" spans="1:8" s="114" customFormat="1" ht="12">
      <c r="A89" s="735"/>
      <c r="B89" s="735"/>
      <c r="C89" s="298" t="s">
        <v>70</v>
      </c>
      <c r="D89" s="91" t="s">
        <v>72</v>
      </c>
      <c r="E89" s="129">
        <v>10539</v>
      </c>
      <c r="F89" s="135">
        <v>7603.08</v>
      </c>
      <c r="G89" s="135">
        <v>0</v>
      </c>
      <c r="H89" s="158">
        <f t="shared" si="9"/>
        <v>72.142328494164531</v>
      </c>
    </row>
    <row r="90" spans="1:8" s="114" customFormat="1" ht="24">
      <c r="A90" s="735"/>
      <c r="B90" s="735"/>
      <c r="C90" s="298" t="s">
        <v>446</v>
      </c>
      <c r="D90" s="567" t="s">
        <v>451</v>
      </c>
      <c r="E90" s="129">
        <v>0</v>
      </c>
      <c r="F90" s="135">
        <v>42</v>
      </c>
      <c r="G90" s="135">
        <v>0</v>
      </c>
      <c r="H90" s="158"/>
    </row>
    <row r="91" spans="1:8" s="114" customFormat="1" ht="12">
      <c r="A91" s="735"/>
      <c r="B91" s="735"/>
      <c r="C91" s="298" t="s">
        <v>64</v>
      </c>
      <c r="D91" s="91" t="s">
        <v>74</v>
      </c>
      <c r="E91" s="129">
        <v>1970</v>
      </c>
      <c r="F91" s="135">
        <v>1783.57</v>
      </c>
      <c r="G91" s="135">
        <v>0</v>
      </c>
      <c r="H91" s="158">
        <f t="shared" si="9"/>
        <v>90.536548223350252</v>
      </c>
    </row>
    <row r="92" spans="1:8" s="114" customFormat="1" ht="12">
      <c r="A92" s="735"/>
      <c r="B92" s="735"/>
      <c r="C92" s="298" t="s">
        <v>116</v>
      </c>
      <c r="D92" s="91" t="s">
        <v>188</v>
      </c>
      <c r="E92" s="129">
        <v>20</v>
      </c>
      <c r="F92" s="135">
        <v>0</v>
      </c>
      <c r="G92" s="135">
        <v>0</v>
      </c>
      <c r="H92" s="158">
        <f t="shared" si="9"/>
        <v>0</v>
      </c>
    </row>
    <row r="93" spans="1:8" s="114" customFormat="1" ht="12">
      <c r="A93" s="735"/>
      <c r="B93" s="735"/>
      <c r="C93" s="298" t="s">
        <v>71</v>
      </c>
      <c r="D93" s="91" t="s">
        <v>73</v>
      </c>
      <c r="E93" s="129">
        <v>9008</v>
      </c>
      <c r="F93" s="135">
        <v>8928.01</v>
      </c>
      <c r="G93" s="135">
        <v>0</v>
      </c>
      <c r="H93" s="158">
        <f t="shared" si="9"/>
        <v>99.112011545293072</v>
      </c>
    </row>
    <row r="94" spans="1:8" s="114" customFormat="1" ht="24">
      <c r="A94" s="735"/>
      <c r="B94" s="736"/>
      <c r="C94" s="298">
        <v>2910</v>
      </c>
      <c r="D94" s="91" t="s">
        <v>151</v>
      </c>
      <c r="E94" s="129">
        <v>0</v>
      </c>
      <c r="F94" s="135">
        <v>523.74</v>
      </c>
      <c r="G94" s="135">
        <v>0</v>
      </c>
      <c r="H94" s="158"/>
    </row>
    <row r="95" spans="1:8" s="114" customFormat="1" ht="12.75" customHeight="1">
      <c r="A95" s="735"/>
      <c r="B95" s="480">
        <v>80140</v>
      </c>
      <c r="C95" s="298"/>
      <c r="D95" s="91" t="s">
        <v>315</v>
      </c>
      <c r="E95" s="129">
        <f>E96+E97+E98</f>
        <v>34703</v>
      </c>
      <c r="F95" s="565">
        <f>F96+F97+F98</f>
        <v>65066.21</v>
      </c>
      <c r="G95" s="135">
        <v>0</v>
      </c>
      <c r="H95" s="158">
        <f t="shared" si="9"/>
        <v>187.49448174509408</v>
      </c>
    </row>
    <row r="96" spans="1:8" s="114" customFormat="1" ht="12.75" customHeight="1">
      <c r="A96" s="735"/>
      <c r="B96" s="737"/>
      <c r="C96" s="298" t="s">
        <v>36</v>
      </c>
      <c r="D96" s="91" t="s">
        <v>209</v>
      </c>
      <c r="E96" s="129">
        <v>14719</v>
      </c>
      <c r="F96" s="135">
        <v>31543.25</v>
      </c>
      <c r="G96" s="135">
        <v>0</v>
      </c>
      <c r="H96" s="158">
        <f t="shared" si="9"/>
        <v>214.30294177593586</v>
      </c>
    </row>
    <row r="97" spans="1:8" s="114" customFormat="1" ht="12.75" customHeight="1">
      <c r="A97" s="735"/>
      <c r="B97" s="738"/>
      <c r="C97" s="298" t="s">
        <v>70</v>
      </c>
      <c r="D97" s="91" t="s">
        <v>72</v>
      </c>
      <c r="E97" s="129">
        <v>19308</v>
      </c>
      <c r="F97" s="135">
        <v>32696.59</v>
      </c>
      <c r="G97" s="135">
        <v>0</v>
      </c>
      <c r="H97" s="158">
        <f t="shared" si="9"/>
        <v>169.34218976590014</v>
      </c>
    </row>
    <row r="98" spans="1:8" s="114" customFormat="1" ht="12.75" customHeight="1">
      <c r="A98" s="736"/>
      <c r="B98" s="739"/>
      <c r="C98" s="298" t="s">
        <v>71</v>
      </c>
      <c r="D98" s="91" t="s">
        <v>73</v>
      </c>
      <c r="E98" s="129">
        <v>676</v>
      </c>
      <c r="F98" s="135">
        <v>826.37</v>
      </c>
      <c r="G98" s="135">
        <v>0</v>
      </c>
      <c r="H98" s="158">
        <f t="shared" si="9"/>
        <v>122.24408284023669</v>
      </c>
    </row>
    <row r="99" spans="1:8" s="114" customFormat="1" ht="12">
      <c r="A99" s="160">
        <v>852</v>
      </c>
      <c r="B99" s="160"/>
      <c r="C99" s="160"/>
      <c r="D99" s="161" t="s">
        <v>50</v>
      </c>
      <c r="E99" s="156">
        <f>E100+E106+E110+E112</f>
        <v>2066274</v>
      </c>
      <c r="F99" s="157">
        <f>F100+F106+F110+F112</f>
        <v>1007495.96</v>
      </c>
      <c r="G99" s="135">
        <v>0</v>
      </c>
      <c r="H99" s="167">
        <f t="shared" ref="H99:H106" si="10">F99/E99*100</f>
        <v>48.759068739189473</v>
      </c>
    </row>
    <row r="100" spans="1:8" s="114" customFormat="1" ht="12">
      <c r="A100" s="734" t="s">
        <v>27</v>
      </c>
      <c r="B100" s="485">
        <v>85201</v>
      </c>
      <c r="C100" s="477"/>
      <c r="D100" s="91" t="s">
        <v>104</v>
      </c>
      <c r="E100" s="129">
        <f>E101+E102+E103+E104+E105</f>
        <v>15678</v>
      </c>
      <c r="F100" s="565">
        <f>F101+F102+F103+F104+F105</f>
        <v>20024.75</v>
      </c>
      <c r="G100" s="135">
        <v>0</v>
      </c>
      <c r="H100" s="158">
        <f t="shared" si="10"/>
        <v>127.7251562699324</v>
      </c>
    </row>
    <row r="101" spans="1:8" s="114" customFormat="1" ht="12.75" customHeight="1">
      <c r="A101" s="735"/>
      <c r="B101" s="735"/>
      <c r="C101" s="152" t="s">
        <v>146</v>
      </c>
      <c r="D101" s="101" t="s">
        <v>194</v>
      </c>
      <c r="E101" s="129">
        <v>6948</v>
      </c>
      <c r="F101" s="135">
        <v>5215.8999999999996</v>
      </c>
      <c r="G101" s="135">
        <v>0</v>
      </c>
      <c r="H101" s="158">
        <f t="shared" si="10"/>
        <v>75.070523891767408</v>
      </c>
    </row>
    <row r="102" spans="1:8" s="114" customFormat="1" ht="24" customHeight="1">
      <c r="A102" s="735"/>
      <c r="B102" s="735"/>
      <c r="C102" s="152" t="s">
        <v>173</v>
      </c>
      <c r="D102" s="91" t="s">
        <v>189</v>
      </c>
      <c r="E102" s="129">
        <v>2897</v>
      </c>
      <c r="F102" s="135">
        <v>2540.84</v>
      </c>
      <c r="G102" s="135">
        <v>0</v>
      </c>
      <c r="H102" s="158">
        <f t="shared" si="10"/>
        <v>87.705902657921996</v>
      </c>
    </row>
    <row r="103" spans="1:8" s="114" customFormat="1" ht="12">
      <c r="A103" s="735"/>
      <c r="B103" s="735"/>
      <c r="C103" s="152" t="s">
        <v>64</v>
      </c>
      <c r="D103" s="91" t="s">
        <v>74</v>
      </c>
      <c r="E103" s="129">
        <v>3444</v>
      </c>
      <c r="F103" s="135">
        <v>2509.54</v>
      </c>
      <c r="G103" s="135">
        <v>0</v>
      </c>
      <c r="H103" s="158">
        <f t="shared" si="10"/>
        <v>72.867015098722405</v>
      </c>
    </row>
    <row r="104" spans="1:8" s="114" customFormat="1" ht="12">
      <c r="A104" s="735"/>
      <c r="B104" s="735"/>
      <c r="C104" s="152" t="s">
        <v>116</v>
      </c>
      <c r="D104" s="91" t="s">
        <v>188</v>
      </c>
      <c r="E104" s="129">
        <v>1149</v>
      </c>
      <c r="F104" s="135">
        <v>8518.4699999999993</v>
      </c>
      <c r="G104" s="135">
        <v>0</v>
      </c>
      <c r="H104" s="158">
        <f t="shared" si="10"/>
        <v>741.38120104438633</v>
      </c>
    </row>
    <row r="105" spans="1:8" s="114" customFormat="1" ht="24">
      <c r="A105" s="735"/>
      <c r="B105" s="735"/>
      <c r="C105" s="477">
        <v>2130</v>
      </c>
      <c r="D105" s="91" t="s">
        <v>186</v>
      </c>
      <c r="E105" s="129">
        <v>1240</v>
      </c>
      <c r="F105" s="135">
        <v>1240</v>
      </c>
      <c r="G105" s="135">
        <v>0</v>
      </c>
      <c r="H105" s="158">
        <f t="shared" si="10"/>
        <v>100</v>
      </c>
    </row>
    <row r="106" spans="1:8" s="114" customFormat="1" ht="12">
      <c r="A106" s="735"/>
      <c r="B106" s="485">
        <v>85202</v>
      </c>
      <c r="C106" s="485"/>
      <c r="D106" s="101" t="s">
        <v>105</v>
      </c>
      <c r="E106" s="134">
        <f>E107+E109</f>
        <v>1970000</v>
      </c>
      <c r="F106" s="135">
        <f>F109+F107+F108</f>
        <v>930747.36</v>
      </c>
      <c r="G106" s="135">
        <v>0</v>
      </c>
      <c r="H106" s="158">
        <f t="shared" si="10"/>
        <v>47.246058883248729</v>
      </c>
    </row>
    <row r="107" spans="1:8" s="114" customFormat="1" ht="35.25" customHeight="1">
      <c r="A107" s="735"/>
      <c r="B107" s="746"/>
      <c r="C107" s="132" t="s">
        <v>36</v>
      </c>
      <c r="D107" s="101" t="s">
        <v>149</v>
      </c>
      <c r="E107" s="134"/>
      <c r="F107" s="135">
        <v>5634.36</v>
      </c>
      <c r="G107" s="135">
        <v>0</v>
      </c>
      <c r="H107" s="158"/>
    </row>
    <row r="108" spans="1:8" s="114" customFormat="1" ht="12">
      <c r="A108" s="735"/>
      <c r="B108" s="746"/>
      <c r="C108" s="132" t="s">
        <v>71</v>
      </c>
      <c r="D108" s="91" t="s">
        <v>73</v>
      </c>
      <c r="E108" s="134"/>
      <c r="F108" s="135">
        <v>98</v>
      </c>
      <c r="G108" s="135">
        <v>0</v>
      </c>
      <c r="H108" s="158"/>
    </row>
    <row r="109" spans="1:8" s="114" customFormat="1" ht="24">
      <c r="A109" s="735"/>
      <c r="B109" s="746"/>
      <c r="C109" s="485">
        <v>2130</v>
      </c>
      <c r="D109" s="101" t="s">
        <v>40</v>
      </c>
      <c r="E109" s="134">
        <f>'zał 1'!E170</f>
        <v>1970000</v>
      </c>
      <c r="F109" s="135">
        <v>925015</v>
      </c>
      <c r="G109" s="135">
        <v>0</v>
      </c>
      <c r="H109" s="158">
        <f t="shared" ref="H109" si="11">F109/E109*100</f>
        <v>46.955076142131979</v>
      </c>
    </row>
    <row r="110" spans="1:8" s="114" customFormat="1" ht="12">
      <c r="A110" s="735"/>
      <c r="B110" s="485">
        <v>85204</v>
      </c>
      <c r="C110" s="485"/>
      <c r="D110" s="101" t="s">
        <v>130</v>
      </c>
      <c r="E110" s="134">
        <f>E111</f>
        <v>0</v>
      </c>
      <c r="F110" s="135">
        <f>F111</f>
        <v>638.64</v>
      </c>
      <c r="G110" s="135">
        <v>0</v>
      </c>
      <c r="H110" s="158"/>
    </row>
    <row r="111" spans="1:8" s="114" customFormat="1" ht="12">
      <c r="A111" s="735"/>
      <c r="B111" s="483"/>
      <c r="C111" s="132" t="s">
        <v>71</v>
      </c>
      <c r="D111" s="101" t="s">
        <v>73</v>
      </c>
      <c r="E111" s="134"/>
      <c r="F111" s="135">
        <v>638.64</v>
      </c>
      <c r="G111" s="135">
        <v>0</v>
      </c>
      <c r="H111" s="158"/>
    </row>
    <row r="112" spans="1:8" s="114" customFormat="1" ht="12">
      <c r="A112" s="735"/>
      <c r="B112" s="485">
        <v>85218</v>
      </c>
      <c r="C112" s="477"/>
      <c r="D112" s="91" t="s">
        <v>108</v>
      </c>
      <c r="E112" s="129">
        <f>SUM(E113:E117)</f>
        <v>80596</v>
      </c>
      <c r="F112" s="135">
        <f>SUM(F113:F117)</f>
        <v>56085.210000000006</v>
      </c>
      <c r="G112" s="135">
        <v>0</v>
      </c>
      <c r="H112" s="158">
        <f t="shared" ref="H112:H142" si="12">F112/E112*100</f>
        <v>69.588081294357053</v>
      </c>
    </row>
    <row r="113" spans="1:8" s="114" customFormat="1" ht="36" customHeight="1">
      <c r="A113" s="735"/>
      <c r="B113" s="734"/>
      <c r="C113" s="152" t="s">
        <v>36</v>
      </c>
      <c r="D113" s="91" t="s">
        <v>149</v>
      </c>
      <c r="E113" s="129">
        <v>37694</v>
      </c>
      <c r="F113" s="135">
        <v>26247.16</v>
      </c>
      <c r="G113" s="135">
        <v>0</v>
      </c>
      <c r="H113" s="158">
        <f t="shared" si="12"/>
        <v>69.632196105480986</v>
      </c>
    </row>
    <row r="114" spans="1:8" s="114" customFormat="1" ht="12">
      <c r="A114" s="735"/>
      <c r="B114" s="735"/>
      <c r="C114" s="152" t="s">
        <v>70</v>
      </c>
      <c r="D114" s="91" t="s">
        <v>72</v>
      </c>
      <c r="E114" s="129">
        <v>9252</v>
      </c>
      <c r="F114" s="135">
        <v>9060.11</v>
      </c>
      <c r="G114" s="135">
        <v>0</v>
      </c>
      <c r="H114" s="158">
        <f t="shared" si="12"/>
        <v>97.925961954172081</v>
      </c>
    </row>
    <row r="115" spans="1:8" s="114" customFormat="1" ht="12">
      <c r="A115" s="735"/>
      <c r="B115" s="735"/>
      <c r="C115" s="152" t="s">
        <v>64</v>
      </c>
      <c r="D115" s="91" t="s">
        <v>74</v>
      </c>
      <c r="E115" s="129">
        <v>300</v>
      </c>
      <c r="F115" s="135">
        <v>1118.94</v>
      </c>
      <c r="G115" s="135">
        <v>0</v>
      </c>
      <c r="H115" s="158">
        <f t="shared" si="12"/>
        <v>372.98</v>
      </c>
    </row>
    <row r="116" spans="1:8" s="114" customFormat="1" ht="12">
      <c r="A116" s="735"/>
      <c r="B116" s="735"/>
      <c r="C116" s="152" t="s">
        <v>71</v>
      </c>
      <c r="D116" s="91" t="s">
        <v>73</v>
      </c>
      <c r="E116" s="129">
        <v>30650</v>
      </c>
      <c r="F116" s="135">
        <v>16959</v>
      </c>
      <c r="G116" s="135">
        <v>0</v>
      </c>
      <c r="H116" s="158">
        <f t="shared" si="12"/>
        <v>55.331158238172918</v>
      </c>
    </row>
    <row r="117" spans="1:8" s="114" customFormat="1" ht="24">
      <c r="A117" s="736"/>
      <c r="B117" s="736"/>
      <c r="C117" s="477">
        <v>2130</v>
      </c>
      <c r="D117" s="91" t="s">
        <v>40</v>
      </c>
      <c r="E117" s="129">
        <v>2700</v>
      </c>
      <c r="F117" s="135">
        <v>2700</v>
      </c>
      <c r="G117" s="135">
        <v>0</v>
      </c>
      <c r="H117" s="158">
        <f t="shared" si="12"/>
        <v>100</v>
      </c>
    </row>
    <row r="118" spans="1:8" s="114" customFormat="1" ht="12">
      <c r="A118" s="160">
        <v>853</v>
      </c>
      <c r="B118" s="160"/>
      <c r="C118" s="159"/>
      <c r="D118" s="161" t="s">
        <v>51</v>
      </c>
      <c r="E118" s="156">
        <f>E119+E124</f>
        <v>1502163</v>
      </c>
      <c r="F118" s="626">
        <f>F119+F124</f>
        <v>1142809.6200000001</v>
      </c>
      <c r="G118" s="135">
        <v>0</v>
      </c>
      <c r="H118" s="167">
        <f t="shared" si="12"/>
        <v>76.077604094895165</v>
      </c>
    </row>
    <row r="119" spans="1:8" s="114" customFormat="1" ht="12">
      <c r="A119" s="734"/>
      <c r="B119" s="485">
        <v>85333</v>
      </c>
      <c r="C119" s="477"/>
      <c r="D119" s="91" t="s">
        <v>110</v>
      </c>
      <c r="E119" s="129">
        <f>SUM(E120:E123)</f>
        <v>527100</v>
      </c>
      <c r="F119" s="135">
        <f>SUM(F120:F123)</f>
        <v>269254.02</v>
      </c>
      <c r="G119" s="135">
        <v>0</v>
      </c>
      <c r="H119" s="158">
        <f t="shared" si="12"/>
        <v>51.082151394422311</v>
      </c>
    </row>
    <row r="120" spans="1:8" s="114" customFormat="1" ht="36" customHeight="1">
      <c r="A120" s="735"/>
      <c r="B120" s="734"/>
      <c r="C120" s="152" t="s">
        <v>36</v>
      </c>
      <c r="D120" s="91" t="s">
        <v>209</v>
      </c>
      <c r="E120" s="129">
        <v>900</v>
      </c>
      <c r="F120" s="135">
        <v>3000</v>
      </c>
      <c r="G120" s="135">
        <v>0</v>
      </c>
      <c r="H120" s="158">
        <f t="shared" si="12"/>
        <v>333.33333333333337</v>
      </c>
    </row>
    <row r="121" spans="1:8" s="114" customFormat="1" ht="12">
      <c r="A121" s="735"/>
      <c r="B121" s="735"/>
      <c r="C121" s="152" t="s">
        <v>64</v>
      </c>
      <c r="D121" s="91" t="s">
        <v>74</v>
      </c>
      <c r="E121" s="129">
        <v>500</v>
      </c>
      <c r="F121" s="135">
        <v>3591.94</v>
      </c>
      <c r="G121" s="135">
        <v>0</v>
      </c>
      <c r="H121" s="158">
        <f t="shared" si="12"/>
        <v>718.38800000000003</v>
      </c>
    </row>
    <row r="122" spans="1:8" s="114" customFormat="1" ht="12">
      <c r="A122" s="735"/>
      <c r="B122" s="735"/>
      <c r="C122" s="152" t="s">
        <v>71</v>
      </c>
      <c r="D122" s="91" t="s">
        <v>73</v>
      </c>
      <c r="E122" s="129">
        <v>1200</v>
      </c>
      <c r="F122" s="135">
        <v>412.08</v>
      </c>
      <c r="G122" s="135">
        <v>0</v>
      </c>
      <c r="H122" s="158">
        <f t="shared" si="12"/>
        <v>34.339999999999996</v>
      </c>
    </row>
    <row r="123" spans="1:8" s="114" customFormat="1" ht="24">
      <c r="A123" s="735"/>
      <c r="B123" s="736"/>
      <c r="C123" s="477">
        <v>2440</v>
      </c>
      <c r="D123" s="130" t="s">
        <v>156</v>
      </c>
      <c r="E123" s="129">
        <v>524500</v>
      </c>
      <c r="F123" s="135">
        <v>262250</v>
      </c>
      <c r="G123" s="135">
        <v>0</v>
      </c>
      <c r="H123" s="158">
        <f t="shared" si="12"/>
        <v>50</v>
      </c>
    </row>
    <row r="124" spans="1:8" s="114" customFormat="1" ht="12">
      <c r="A124" s="735"/>
      <c r="B124" s="485">
        <v>85395</v>
      </c>
      <c r="C124" s="477"/>
      <c r="D124" s="91" t="s">
        <v>89</v>
      </c>
      <c r="E124" s="129">
        <f>E125+E126+E127+E128</f>
        <v>975063</v>
      </c>
      <c r="F124" s="565">
        <f>F125+F126+F127+F128</f>
        <v>873555.6</v>
      </c>
      <c r="G124" s="135">
        <v>0</v>
      </c>
      <c r="H124" s="158">
        <f t="shared" si="12"/>
        <v>89.589657283683209</v>
      </c>
    </row>
    <row r="125" spans="1:8" s="114" customFormat="1" ht="24">
      <c r="A125" s="735"/>
      <c r="B125" s="734"/>
      <c r="C125" s="152">
        <v>2008</v>
      </c>
      <c r="D125" s="91" t="s">
        <v>317</v>
      </c>
      <c r="E125" s="129">
        <v>843306</v>
      </c>
      <c r="F125" s="135">
        <v>778565.15</v>
      </c>
      <c r="G125" s="135">
        <v>0</v>
      </c>
      <c r="H125" s="158">
        <f t="shared" si="12"/>
        <v>92.322970546871488</v>
      </c>
    </row>
    <row r="126" spans="1:8" s="114" customFormat="1" ht="12" customHeight="1">
      <c r="A126" s="735"/>
      <c r="B126" s="735"/>
      <c r="C126" s="152">
        <v>2009</v>
      </c>
      <c r="D126" s="91" t="s">
        <v>317</v>
      </c>
      <c r="E126" s="129">
        <v>45801</v>
      </c>
      <c r="F126" s="135">
        <v>44958.59</v>
      </c>
      <c r="G126" s="135">
        <v>0</v>
      </c>
      <c r="H126" s="158">
        <f t="shared" si="12"/>
        <v>98.160717014912336</v>
      </c>
    </row>
    <row r="127" spans="1:8" s="114" customFormat="1" ht="24">
      <c r="A127" s="735"/>
      <c r="B127" s="735"/>
      <c r="C127" s="477">
        <v>2440</v>
      </c>
      <c r="D127" s="130" t="s">
        <v>156</v>
      </c>
      <c r="E127" s="129">
        <v>85956</v>
      </c>
      <c r="F127" s="135">
        <v>43058</v>
      </c>
      <c r="G127" s="135">
        <v>0</v>
      </c>
      <c r="H127" s="158">
        <f t="shared" si="12"/>
        <v>50.093070873470147</v>
      </c>
    </row>
    <row r="128" spans="1:8" s="114" customFormat="1" ht="23.25" customHeight="1">
      <c r="A128" s="736"/>
      <c r="B128" s="736"/>
      <c r="C128" s="477">
        <v>2709</v>
      </c>
      <c r="D128" s="91" t="s">
        <v>314</v>
      </c>
      <c r="E128" s="129"/>
      <c r="F128" s="135">
        <v>6973.86</v>
      </c>
      <c r="G128" s="135">
        <v>0</v>
      </c>
      <c r="H128" s="158"/>
    </row>
    <row r="129" spans="1:8" s="114" customFormat="1" ht="12">
      <c r="A129" s="160">
        <v>854</v>
      </c>
      <c r="B129" s="160"/>
      <c r="C129" s="160"/>
      <c r="D129" s="161" t="s">
        <v>111</v>
      </c>
      <c r="E129" s="156">
        <f>E130+E135+E140+E145+E143</f>
        <v>227642</v>
      </c>
      <c r="F129" s="626">
        <f>F130+F135+F140+F145+F143</f>
        <v>146008.11000000002</v>
      </c>
      <c r="G129" s="135">
        <v>0</v>
      </c>
      <c r="H129" s="167">
        <f t="shared" si="12"/>
        <v>64.139354776359383</v>
      </c>
    </row>
    <row r="130" spans="1:8" s="114" customFormat="1" ht="24">
      <c r="A130" s="734"/>
      <c r="B130" s="485">
        <v>85406</v>
      </c>
      <c r="C130" s="477"/>
      <c r="D130" s="91" t="s">
        <v>112</v>
      </c>
      <c r="E130" s="129">
        <f>E131+E132+E134</f>
        <v>15145</v>
      </c>
      <c r="F130" s="135">
        <f>SUM(F131:F134)</f>
        <v>9187.4500000000007</v>
      </c>
      <c r="G130" s="135">
        <v>0</v>
      </c>
      <c r="H130" s="158">
        <f t="shared" si="12"/>
        <v>60.663255199735886</v>
      </c>
    </row>
    <row r="131" spans="1:8" s="114" customFormat="1" ht="35.25" customHeight="1">
      <c r="A131" s="735"/>
      <c r="B131" s="734"/>
      <c r="C131" s="152" t="s">
        <v>36</v>
      </c>
      <c r="D131" s="91" t="s">
        <v>209</v>
      </c>
      <c r="E131" s="129">
        <v>13945</v>
      </c>
      <c r="F131" s="135">
        <v>7838.68</v>
      </c>
      <c r="G131" s="135">
        <v>0</v>
      </c>
      <c r="H131" s="158">
        <f t="shared" si="12"/>
        <v>56.211401936177843</v>
      </c>
    </row>
    <row r="132" spans="1:8" s="114" customFormat="1" ht="12">
      <c r="A132" s="735"/>
      <c r="B132" s="735"/>
      <c r="C132" s="152" t="s">
        <v>64</v>
      </c>
      <c r="D132" s="91" t="s">
        <v>74</v>
      </c>
      <c r="E132" s="129">
        <v>500</v>
      </c>
      <c r="F132" s="135">
        <v>600.77</v>
      </c>
      <c r="G132" s="135">
        <v>0</v>
      </c>
      <c r="H132" s="158">
        <f t="shared" si="12"/>
        <v>120.15400000000001</v>
      </c>
    </row>
    <row r="133" spans="1:8" s="114" customFormat="1" ht="12">
      <c r="A133" s="735"/>
      <c r="B133" s="735"/>
      <c r="C133" s="152" t="s">
        <v>71</v>
      </c>
      <c r="D133" s="91" t="s">
        <v>73</v>
      </c>
      <c r="E133" s="129"/>
      <c r="F133" s="135">
        <v>48</v>
      </c>
      <c r="G133" s="135">
        <v>0</v>
      </c>
      <c r="H133" s="158"/>
    </row>
    <row r="134" spans="1:8" s="114" customFormat="1" ht="36">
      <c r="A134" s="735"/>
      <c r="B134" s="735"/>
      <c r="C134" s="152">
        <v>2710</v>
      </c>
      <c r="D134" s="91" t="s">
        <v>318</v>
      </c>
      <c r="E134" s="129">
        <v>700</v>
      </c>
      <c r="F134" s="135">
        <v>700</v>
      </c>
      <c r="G134" s="135">
        <v>0</v>
      </c>
      <c r="H134" s="158">
        <f t="shared" si="12"/>
        <v>100</v>
      </c>
    </row>
    <row r="135" spans="1:8" s="114" customFormat="1" ht="12">
      <c r="A135" s="735"/>
      <c r="B135" s="485">
        <v>85407</v>
      </c>
      <c r="C135" s="477"/>
      <c r="D135" s="91" t="s">
        <v>60</v>
      </c>
      <c r="E135" s="129">
        <f>SUM(E136:E139)</f>
        <v>23888</v>
      </c>
      <c r="F135" s="135">
        <f>SUM(F136:F139)</f>
        <v>8542.33</v>
      </c>
      <c r="G135" s="135">
        <v>0</v>
      </c>
      <c r="H135" s="158">
        <f t="shared" si="12"/>
        <v>35.759921299397185</v>
      </c>
    </row>
    <row r="136" spans="1:8" s="114" customFormat="1" ht="35.25" customHeight="1">
      <c r="A136" s="735"/>
      <c r="B136" s="746"/>
      <c r="C136" s="152" t="s">
        <v>36</v>
      </c>
      <c r="D136" s="91" t="s">
        <v>209</v>
      </c>
      <c r="E136" s="129">
        <v>6500</v>
      </c>
      <c r="F136" s="135">
        <v>2100</v>
      </c>
      <c r="G136" s="135">
        <v>0</v>
      </c>
      <c r="H136" s="158">
        <f t="shared" si="12"/>
        <v>32.307692307692307</v>
      </c>
    </row>
    <row r="137" spans="1:8" s="114" customFormat="1" ht="12">
      <c r="A137" s="735"/>
      <c r="B137" s="746"/>
      <c r="C137" s="152" t="s">
        <v>70</v>
      </c>
      <c r="D137" s="91" t="s">
        <v>72</v>
      </c>
      <c r="E137" s="129">
        <v>17000</v>
      </c>
      <c r="F137" s="135">
        <v>6060</v>
      </c>
      <c r="G137" s="135">
        <v>0</v>
      </c>
      <c r="H137" s="158">
        <f t="shared" si="12"/>
        <v>35.647058823529406</v>
      </c>
    </row>
    <row r="138" spans="1:8" s="114" customFormat="1" ht="12">
      <c r="A138" s="735"/>
      <c r="B138" s="746"/>
      <c r="C138" s="152" t="s">
        <v>64</v>
      </c>
      <c r="D138" s="91" t="s">
        <v>74</v>
      </c>
      <c r="E138" s="129">
        <v>323</v>
      </c>
      <c r="F138" s="135">
        <v>345.33</v>
      </c>
      <c r="G138" s="135">
        <v>0</v>
      </c>
      <c r="H138" s="158">
        <f t="shared" si="12"/>
        <v>106.91331269349844</v>
      </c>
    </row>
    <row r="139" spans="1:8" s="114" customFormat="1" ht="12">
      <c r="A139" s="735"/>
      <c r="B139" s="746"/>
      <c r="C139" s="152" t="s">
        <v>71</v>
      </c>
      <c r="D139" s="91" t="s">
        <v>73</v>
      </c>
      <c r="E139" s="129">
        <v>65</v>
      </c>
      <c r="F139" s="135">
        <v>37</v>
      </c>
      <c r="G139" s="135">
        <v>0</v>
      </c>
      <c r="H139" s="158">
        <f t="shared" si="12"/>
        <v>56.92307692307692</v>
      </c>
    </row>
    <row r="140" spans="1:8" s="114" customFormat="1" ht="12">
      <c r="A140" s="735"/>
      <c r="B140" s="485">
        <v>85410</v>
      </c>
      <c r="C140" s="477"/>
      <c r="D140" s="91" t="s">
        <v>61</v>
      </c>
      <c r="E140" s="129">
        <f>E141+E142</f>
        <v>142623</v>
      </c>
      <c r="F140" s="565">
        <f>F141+F142</f>
        <v>105044.71</v>
      </c>
      <c r="G140" s="135">
        <v>0</v>
      </c>
      <c r="H140" s="158">
        <f t="shared" si="12"/>
        <v>73.652012648731287</v>
      </c>
    </row>
    <row r="141" spans="1:8" s="114" customFormat="1" ht="36" customHeight="1">
      <c r="A141" s="735"/>
      <c r="B141" s="734"/>
      <c r="C141" s="152" t="s">
        <v>36</v>
      </c>
      <c r="D141" s="91" t="s">
        <v>209</v>
      </c>
      <c r="E141" s="129">
        <v>150</v>
      </c>
      <c r="F141" s="135">
        <v>8113.85</v>
      </c>
      <c r="G141" s="135">
        <v>0</v>
      </c>
      <c r="H141" s="627">
        <f t="shared" si="12"/>
        <v>5409.2333333333336</v>
      </c>
    </row>
    <row r="142" spans="1:8" s="114" customFormat="1" ht="12">
      <c r="A142" s="735"/>
      <c r="B142" s="736"/>
      <c r="C142" s="152" t="s">
        <v>70</v>
      </c>
      <c r="D142" s="91" t="s">
        <v>72</v>
      </c>
      <c r="E142" s="129">
        <v>142473</v>
      </c>
      <c r="F142" s="135">
        <v>96930.86</v>
      </c>
      <c r="G142" s="135">
        <v>0</v>
      </c>
      <c r="H142" s="158">
        <f t="shared" si="12"/>
        <v>68.034546896604979</v>
      </c>
    </row>
    <row r="143" spans="1:8" s="114" customFormat="1" ht="12">
      <c r="A143" s="735"/>
      <c r="B143" s="477">
        <v>85415</v>
      </c>
      <c r="C143" s="152"/>
      <c r="D143" s="91" t="s">
        <v>113</v>
      </c>
      <c r="E143" s="129">
        <f>E144</f>
        <v>9600</v>
      </c>
      <c r="F143" s="135">
        <f>F144</f>
        <v>9600</v>
      </c>
      <c r="G143" s="135">
        <v>0</v>
      </c>
      <c r="H143" s="158">
        <f t="shared" ref="H143:H148" si="13">F143/E143*100</f>
        <v>100</v>
      </c>
    </row>
    <row r="144" spans="1:8" s="114" customFormat="1" ht="24">
      <c r="A144" s="735"/>
      <c r="B144" s="483"/>
      <c r="C144" s="132">
        <v>2130</v>
      </c>
      <c r="D144" s="101" t="s">
        <v>40</v>
      </c>
      <c r="E144" s="134">
        <v>9600</v>
      </c>
      <c r="F144" s="135">
        <v>9600</v>
      </c>
      <c r="G144" s="135">
        <v>0</v>
      </c>
      <c r="H144" s="158">
        <f t="shared" si="13"/>
        <v>100</v>
      </c>
    </row>
    <row r="145" spans="1:8" s="114" customFormat="1" ht="12">
      <c r="A145" s="735"/>
      <c r="B145" s="477">
        <v>85420</v>
      </c>
      <c r="C145" s="152"/>
      <c r="D145" s="91" t="s">
        <v>147</v>
      </c>
      <c r="E145" s="129">
        <f>E146+E147+E148</f>
        <v>36386</v>
      </c>
      <c r="F145" s="135">
        <f>SUM(F146:F148)</f>
        <v>13633.619999999999</v>
      </c>
      <c r="G145" s="135">
        <v>0</v>
      </c>
      <c r="H145" s="158">
        <f t="shared" si="13"/>
        <v>37.469411312043086</v>
      </c>
    </row>
    <row r="146" spans="1:8" s="114" customFormat="1" ht="12">
      <c r="A146" s="735"/>
      <c r="B146" s="737"/>
      <c r="C146" s="152" t="s">
        <v>70</v>
      </c>
      <c r="D146" s="91" t="s">
        <v>72</v>
      </c>
      <c r="E146" s="129">
        <v>35086</v>
      </c>
      <c r="F146" s="135">
        <v>13143.46</v>
      </c>
      <c r="G146" s="135">
        <v>0</v>
      </c>
      <c r="H146" s="158">
        <f t="shared" si="13"/>
        <v>37.460696574132129</v>
      </c>
    </row>
    <row r="147" spans="1:8" s="114" customFormat="1" ht="12">
      <c r="A147" s="735"/>
      <c r="B147" s="738"/>
      <c r="C147" s="152" t="s">
        <v>64</v>
      </c>
      <c r="D147" s="91" t="s">
        <v>74</v>
      </c>
      <c r="E147" s="129">
        <v>300</v>
      </c>
      <c r="F147" s="135">
        <v>490.16</v>
      </c>
      <c r="G147" s="135">
        <v>0</v>
      </c>
      <c r="H147" s="158">
        <f t="shared" si="13"/>
        <v>163.38666666666668</v>
      </c>
    </row>
    <row r="148" spans="1:8" s="114" customFormat="1" ht="12">
      <c r="A148" s="736"/>
      <c r="B148" s="739"/>
      <c r="C148" s="152" t="s">
        <v>71</v>
      </c>
      <c r="D148" s="91" t="s">
        <v>73</v>
      </c>
      <c r="E148" s="129">
        <v>1000</v>
      </c>
      <c r="F148" s="135">
        <v>0</v>
      </c>
      <c r="G148" s="135">
        <v>0</v>
      </c>
      <c r="H148" s="158">
        <f t="shared" si="13"/>
        <v>0</v>
      </c>
    </row>
    <row r="149" spans="1:8" s="114" customFormat="1" ht="12">
      <c r="A149" s="303">
        <v>926</v>
      </c>
      <c r="B149" s="303"/>
      <c r="C149" s="304"/>
      <c r="D149" s="301" t="s">
        <v>114</v>
      </c>
      <c r="E149" s="302">
        <v>150000</v>
      </c>
      <c r="F149" s="135">
        <f>F150</f>
        <v>0</v>
      </c>
      <c r="G149" s="157">
        <f>G150</f>
        <v>150000</v>
      </c>
      <c r="H149" s="167">
        <f t="shared" ref="H149:H150" si="14">G149/E149*100</f>
        <v>100</v>
      </c>
    </row>
    <row r="150" spans="1:8" s="114" customFormat="1" ht="12">
      <c r="A150" s="737"/>
      <c r="B150" s="476">
        <v>92601</v>
      </c>
      <c r="C150" s="152"/>
      <c r="D150" s="91" t="s">
        <v>183</v>
      </c>
      <c r="E150" s="129">
        <v>150000</v>
      </c>
      <c r="F150" s="135">
        <f>F151</f>
        <v>0</v>
      </c>
      <c r="G150" s="135">
        <f>G151</f>
        <v>150000</v>
      </c>
      <c r="H150" s="158">
        <f t="shared" si="14"/>
        <v>100</v>
      </c>
    </row>
    <row r="151" spans="1:8" s="114" customFormat="1" ht="36">
      <c r="A151" s="739"/>
      <c r="B151" s="476"/>
      <c r="C151" s="152">
        <v>6260</v>
      </c>
      <c r="D151" s="91" t="s">
        <v>319</v>
      </c>
      <c r="E151" s="129">
        <v>150000</v>
      </c>
      <c r="F151" s="135">
        <v>0</v>
      </c>
      <c r="G151" s="135">
        <v>150000</v>
      </c>
      <c r="H151" s="158">
        <f>G151/E151*100</f>
        <v>100</v>
      </c>
    </row>
    <row r="152" spans="1:8" s="114" customFormat="1" ht="12">
      <c r="A152" s="745" t="s">
        <v>41</v>
      </c>
      <c r="B152" s="745"/>
      <c r="C152" s="745"/>
      <c r="D152" s="745"/>
      <c r="E152" s="156">
        <f>E13+E16+E22+E30+E38+E45+E55+E64+E99+E118+E129+E149+E19</f>
        <v>32997337</v>
      </c>
      <c r="F152" s="626">
        <f>F13+F16+F22+F30+F38+F45+F55+F64+F99+F118+F129+F149+F19</f>
        <v>17769800.620000001</v>
      </c>
      <c r="G152" s="626">
        <f>G13+G16+G22+G30+G38+G45+G55+G64+G99+G118+G129+G149+G19</f>
        <v>1721025.44</v>
      </c>
      <c r="H152" s="167">
        <f>(F152+G152)/E152*100</f>
        <v>59.067875871316531</v>
      </c>
    </row>
  </sheetData>
  <mergeCells count="47">
    <mergeCell ref="D1:H1"/>
    <mergeCell ref="H9:H11"/>
    <mergeCell ref="B9:B11"/>
    <mergeCell ref="C9:C11"/>
    <mergeCell ref="D9:D11"/>
    <mergeCell ref="E9:E11"/>
    <mergeCell ref="A3:H3"/>
    <mergeCell ref="A4:H4"/>
    <mergeCell ref="A5:H5"/>
    <mergeCell ref="A6:H6"/>
    <mergeCell ref="A9:A11"/>
    <mergeCell ref="F9:G9"/>
    <mergeCell ref="F10:F11"/>
    <mergeCell ref="G10:G11"/>
    <mergeCell ref="A14:A15"/>
    <mergeCell ref="A17:A18"/>
    <mergeCell ref="A23:A29"/>
    <mergeCell ref="B24:B29"/>
    <mergeCell ref="A31:A37"/>
    <mergeCell ref="B32:B37"/>
    <mergeCell ref="A20:A21"/>
    <mergeCell ref="B101:B105"/>
    <mergeCell ref="B107:B109"/>
    <mergeCell ref="B113:B117"/>
    <mergeCell ref="A100:A117"/>
    <mergeCell ref="B66:B68"/>
    <mergeCell ref="A152:D152"/>
    <mergeCell ref="B120:B123"/>
    <mergeCell ref="A130:A148"/>
    <mergeCell ref="B131:B134"/>
    <mergeCell ref="B136:B139"/>
    <mergeCell ref="A119:A128"/>
    <mergeCell ref="B125:B128"/>
    <mergeCell ref="B141:B142"/>
    <mergeCell ref="B146:B148"/>
    <mergeCell ref="A150:A151"/>
    <mergeCell ref="A39:A44"/>
    <mergeCell ref="B40:B44"/>
    <mergeCell ref="B70:B79"/>
    <mergeCell ref="B81:B85"/>
    <mergeCell ref="B87:B94"/>
    <mergeCell ref="A65:A98"/>
    <mergeCell ref="B96:B98"/>
    <mergeCell ref="B53:B54"/>
    <mergeCell ref="A56:A63"/>
    <mergeCell ref="A46:A54"/>
    <mergeCell ref="B47:B51"/>
  </mergeCells>
  <phoneticPr fontId="0" type="noConversion"/>
  <pageMargins left="0.78740157480314965" right="0.39370078740157483" top="0.62992125984251968" bottom="0.98425196850393704" header="0.51181102362204722" footer="0.51181102362204722"/>
  <pageSetup paperSize="9" scale="74" orientation="portrait" r:id="rId1"/>
  <headerFooter alignWithMargins="0">
    <oddFooter>&amp;C&amp;"Times New (W1),Normalny"Załącznik Nr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S57"/>
  <sheetViews>
    <sheetView view="pageLayout" topLeftCell="A43" workbookViewId="0">
      <selection activeCell="D15" sqref="D15"/>
    </sheetView>
  </sheetViews>
  <sheetFormatPr defaultRowHeight="12.75"/>
  <cols>
    <col min="1" max="1" width="4.42578125" style="59" customWidth="1"/>
    <col min="2" max="2" width="6.140625" style="59" customWidth="1"/>
    <col min="3" max="3" width="5" style="59" customWidth="1"/>
    <col min="4" max="4" width="39.140625" style="59" customWidth="1"/>
    <col min="5" max="5" width="11.42578125" style="59" customWidth="1"/>
    <col min="6" max="6" width="13.140625" style="59" customWidth="1"/>
    <col min="7" max="7" width="7.42578125" style="59" customWidth="1"/>
    <col min="8" max="16384" width="9.140625" style="59"/>
  </cols>
  <sheetData>
    <row r="1" spans="1:7">
      <c r="D1" s="705" t="s">
        <v>8</v>
      </c>
      <c r="E1" s="705"/>
      <c r="F1" s="705"/>
      <c r="G1" s="705"/>
    </row>
    <row r="3" spans="1:7">
      <c r="A3" s="767" t="s">
        <v>3</v>
      </c>
      <c r="B3" s="767"/>
      <c r="C3" s="767"/>
      <c r="D3" s="767"/>
      <c r="E3" s="767"/>
      <c r="F3" s="767"/>
      <c r="G3" s="767"/>
    </row>
    <row r="4" spans="1:7">
      <c r="A4" s="767" t="s">
        <v>4</v>
      </c>
      <c r="B4" s="767"/>
      <c r="C4" s="767"/>
      <c r="D4" s="767"/>
      <c r="E4" s="767"/>
      <c r="F4" s="767"/>
      <c r="G4" s="767"/>
    </row>
    <row r="5" spans="1:7">
      <c r="A5" s="768" t="s">
        <v>9</v>
      </c>
      <c r="B5" s="768"/>
      <c r="C5" s="768"/>
      <c r="D5" s="768"/>
      <c r="E5" s="768"/>
      <c r="F5" s="768"/>
      <c r="G5" s="768"/>
    </row>
    <row r="6" spans="1:7">
      <c r="A6" s="767" t="s">
        <v>473</v>
      </c>
      <c r="B6" s="767"/>
      <c r="C6" s="767"/>
      <c r="D6" s="767"/>
      <c r="E6" s="767"/>
      <c r="F6" s="767"/>
      <c r="G6" s="767"/>
    </row>
    <row r="7" spans="1:7" ht="14.25" customHeight="1"/>
    <row r="8" spans="1:7">
      <c r="A8" s="59" t="s">
        <v>7</v>
      </c>
      <c r="F8" s="652" t="s">
        <v>166</v>
      </c>
    </row>
    <row r="9" spans="1:7" s="168" customFormat="1" ht="11.25" customHeight="1">
      <c r="A9" s="754" t="s">
        <v>0</v>
      </c>
      <c r="B9" s="754" t="s">
        <v>77</v>
      </c>
      <c r="C9" s="754" t="s">
        <v>78</v>
      </c>
      <c r="D9" s="754" t="s">
        <v>1</v>
      </c>
      <c r="E9" s="754" t="s">
        <v>192</v>
      </c>
      <c r="F9" s="751" t="s">
        <v>455</v>
      </c>
      <c r="G9" s="751" t="s">
        <v>145</v>
      </c>
    </row>
    <row r="10" spans="1:7" s="141" customFormat="1" ht="11.25">
      <c r="A10" s="755"/>
      <c r="B10" s="755"/>
      <c r="C10" s="755"/>
      <c r="D10" s="755"/>
      <c r="E10" s="755"/>
      <c r="F10" s="752"/>
      <c r="G10" s="752"/>
    </row>
    <row r="11" spans="1:7" s="168" customFormat="1" ht="10.5">
      <c r="A11" s="756"/>
      <c r="B11" s="756"/>
      <c r="C11" s="756"/>
      <c r="D11" s="756"/>
      <c r="E11" s="756"/>
      <c r="F11" s="753"/>
      <c r="G11" s="753"/>
    </row>
    <row r="12" spans="1:7" s="141" customFormat="1" ht="9" customHeight="1">
      <c r="A12" s="63">
        <v>1</v>
      </c>
      <c r="B12" s="63">
        <v>2</v>
      </c>
      <c r="C12" s="63">
        <v>3</v>
      </c>
      <c r="D12" s="63">
        <v>4</v>
      </c>
      <c r="E12" s="63">
        <v>5</v>
      </c>
      <c r="F12" s="63">
        <v>6</v>
      </c>
      <c r="G12" s="63">
        <v>7</v>
      </c>
    </row>
    <row r="13" spans="1:7" s="171" customFormat="1" ht="12">
      <c r="A13" s="154" t="s">
        <v>28</v>
      </c>
      <c r="B13" s="154"/>
      <c r="C13" s="142"/>
      <c r="D13" s="155" t="s">
        <v>42</v>
      </c>
      <c r="E13" s="169">
        <f>E15+E16</f>
        <v>88000</v>
      </c>
      <c r="F13" s="170">
        <f>F15+F16</f>
        <v>47380.29</v>
      </c>
      <c r="G13" s="144">
        <f>F13/E13*100</f>
        <v>53.841238636363641</v>
      </c>
    </row>
    <row r="14" spans="1:7" s="145" customFormat="1" ht="12">
      <c r="A14" s="734" t="s">
        <v>27</v>
      </c>
      <c r="B14" s="149" t="s">
        <v>63</v>
      </c>
      <c r="C14" s="146"/>
      <c r="D14" s="172" t="s">
        <v>79</v>
      </c>
      <c r="E14" s="173">
        <f>E15</f>
        <v>88000</v>
      </c>
      <c r="F14" s="174">
        <f>F15</f>
        <v>47258</v>
      </c>
      <c r="G14" s="148">
        <f t="shared" ref="G14:G56" si="0">F14/E14*100</f>
        <v>53.702272727272728</v>
      </c>
    </row>
    <row r="15" spans="1:7" s="145" customFormat="1" ht="36">
      <c r="A15" s="735"/>
      <c r="B15" s="137"/>
      <c r="C15" s="137">
        <v>2110</v>
      </c>
      <c r="D15" s="101" t="s">
        <v>80</v>
      </c>
      <c r="E15" s="175">
        <v>88000</v>
      </c>
      <c r="F15" s="147">
        <v>47258</v>
      </c>
      <c r="G15" s="148">
        <f t="shared" si="0"/>
        <v>53.702272727272728</v>
      </c>
    </row>
    <row r="16" spans="1:7" s="145" customFormat="1" ht="12">
      <c r="A16" s="735"/>
      <c r="B16" s="132" t="s">
        <v>137</v>
      </c>
      <c r="C16" s="137"/>
      <c r="D16" s="101" t="s">
        <v>138</v>
      </c>
      <c r="E16" s="175">
        <f>E17</f>
        <v>0</v>
      </c>
      <c r="F16" s="147">
        <f>F17</f>
        <v>122.29</v>
      </c>
      <c r="G16" s="148"/>
    </row>
    <row r="17" spans="1:19" s="145" customFormat="1" ht="36.75" customHeight="1">
      <c r="A17" s="736"/>
      <c r="B17" s="137"/>
      <c r="C17" s="166">
        <v>2360</v>
      </c>
      <c r="D17" s="101" t="s">
        <v>148</v>
      </c>
      <c r="E17" s="175"/>
      <c r="F17" s="147">
        <v>122.29</v>
      </c>
      <c r="G17" s="148"/>
    </row>
    <row r="18" spans="1:19" s="145" customFormat="1" ht="12">
      <c r="A18" s="160">
        <v>700</v>
      </c>
      <c r="B18" s="160"/>
      <c r="C18" s="160"/>
      <c r="D18" s="161" t="s">
        <v>44</v>
      </c>
      <c r="E18" s="176">
        <f>E19</f>
        <v>161000</v>
      </c>
      <c r="F18" s="143">
        <f>F19</f>
        <v>104068.9</v>
      </c>
      <c r="G18" s="144">
        <f t="shared" si="0"/>
        <v>64.639068322981359</v>
      </c>
    </row>
    <row r="19" spans="1:19" s="145" customFormat="1" ht="12" customHeight="1">
      <c r="A19" s="734" t="s">
        <v>27</v>
      </c>
      <c r="B19" s="137">
        <v>70005</v>
      </c>
      <c r="C19" s="137"/>
      <c r="D19" s="101" t="s">
        <v>85</v>
      </c>
      <c r="E19" s="175">
        <f>SUM(E20:E21)</f>
        <v>161000</v>
      </c>
      <c r="F19" s="147">
        <f>SUM(F20:F21)</f>
        <v>104068.9</v>
      </c>
      <c r="G19" s="148">
        <f t="shared" si="0"/>
        <v>64.639068322981359</v>
      </c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</row>
    <row r="20" spans="1:19" s="171" customFormat="1" ht="27" customHeight="1">
      <c r="A20" s="735"/>
      <c r="B20" s="734"/>
      <c r="C20" s="137">
        <v>2110</v>
      </c>
      <c r="D20" s="101" t="s">
        <v>80</v>
      </c>
      <c r="E20" s="175">
        <v>61000</v>
      </c>
      <c r="F20" s="147">
        <v>35581</v>
      </c>
      <c r="G20" s="148">
        <f t="shared" si="0"/>
        <v>58.329508196721314</v>
      </c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</row>
    <row r="21" spans="1:19" s="171" customFormat="1" ht="27.75" customHeight="1">
      <c r="A21" s="736"/>
      <c r="B21" s="736"/>
      <c r="C21" s="137">
        <v>2360</v>
      </c>
      <c r="D21" s="101" t="s">
        <v>148</v>
      </c>
      <c r="E21" s="175">
        <v>100000</v>
      </c>
      <c r="F21" s="147">
        <v>68487.899999999994</v>
      </c>
      <c r="G21" s="148">
        <f t="shared" si="0"/>
        <v>68.487899999999996</v>
      </c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</row>
    <row r="22" spans="1:19" s="145" customFormat="1" ht="15" customHeight="1">
      <c r="A22" s="177">
        <v>710</v>
      </c>
      <c r="B22" s="154"/>
      <c r="C22" s="142"/>
      <c r="D22" s="161" t="s">
        <v>45</v>
      </c>
      <c r="E22" s="176">
        <f>E23+E25+E27</f>
        <v>341600</v>
      </c>
      <c r="F22" s="143">
        <f>F23+F25+F27</f>
        <v>183871.28</v>
      </c>
      <c r="G22" s="144">
        <f t="shared" si="0"/>
        <v>53.826487119437935</v>
      </c>
    </row>
    <row r="23" spans="1:19" s="145" customFormat="1" ht="14.25" customHeight="1">
      <c r="A23" s="731" t="s">
        <v>27</v>
      </c>
      <c r="B23" s="178">
        <v>71013</v>
      </c>
      <c r="C23" s="146"/>
      <c r="D23" s="101" t="s">
        <v>86</v>
      </c>
      <c r="E23" s="175">
        <f>E24</f>
        <v>74000</v>
      </c>
      <c r="F23" s="147">
        <f>F24</f>
        <v>39740</v>
      </c>
      <c r="G23" s="148">
        <f t="shared" si="0"/>
        <v>53.702702702702695</v>
      </c>
    </row>
    <row r="24" spans="1:19" s="145" customFormat="1" ht="24.75" customHeight="1">
      <c r="A24" s="732"/>
      <c r="B24" s="179"/>
      <c r="C24" s="137">
        <v>2110</v>
      </c>
      <c r="D24" s="101" t="s">
        <v>80</v>
      </c>
      <c r="E24" s="175">
        <v>74000</v>
      </c>
      <c r="F24" s="147">
        <v>39740</v>
      </c>
      <c r="G24" s="148">
        <f t="shared" si="0"/>
        <v>53.702702702702695</v>
      </c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</row>
    <row r="25" spans="1:19" s="171" customFormat="1" ht="12">
      <c r="A25" s="732"/>
      <c r="B25" s="179">
        <v>71014</v>
      </c>
      <c r="C25" s="137"/>
      <c r="D25" s="101" t="s">
        <v>87</v>
      </c>
      <c r="E25" s="175">
        <f>E26</f>
        <v>19000</v>
      </c>
      <c r="F25" s="147">
        <f>F26</f>
        <v>10202</v>
      </c>
      <c r="G25" s="148">
        <f t="shared" si="0"/>
        <v>53.694736842105264</v>
      </c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</row>
    <row r="26" spans="1:19" s="145" customFormat="1" ht="24" customHeight="1">
      <c r="A26" s="732"/>
      <c r="B26" s="179"/>
      <c r="C26" s="137">
        <v>2110</v>
      </c>
      <c r="D26" s="101" t="s">
        <v>80</v>
      </c>
      <c r="E26" s="175">
        <v>19000</v>
      </c>
      <c r="F26" s="147">
        <v>10202</v>
      </c>
      <c r="G26" s="148">
        <f t="shared" si="0"/>
        <v>53.694736842105264</v>
      </c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</row>
    <row r="27" spans="1:19" s="145" customFormat="1" ht="12">
      <c r="A27" s="732"/>
      <c r="B27" s="180">
        <v>71015</v>
      </c>
      <c r="C27" s="137"/>
      <c r="D27" s="101" t="s">
        <v>88</v>
      </c>
      <c r="E27" s="175">
        <f>SUM(E28:E31)</f>
        <v>248600</v>
      </c>
      <c r="F27" s="147">
        <f>SUM(F28:F31)</f>
        <v>133929.28</v>
      </c>
      <c r="G27" s="148">
        <f t="shared" si="0"/>
        <v>53.873403057119873</v>
      </c>
    </row>
    <row r="28" spans="1:19" s="145" customFormat="1" ht="12">
      <c r="A28" s="732"/>
      <c r="B28" s="731"/>
      <c r="C28" s="181" t="s">
        <v>52</v>
      </c>
      <c r="D28" s="133" t="s">
        <v>53</v>
      </c>
      <c r="E28" s="175"/>
      <c r="F28" s="147">
        <v>149.6</v>
      </c>
      <c r="G28" s="148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</row>
    <row r="29" spans="1:19" s="145" customFormat="1" ht="12.75" customHeight="1">
      <c r="A29" s="732"/>
      <c r="B29" s="732"/>
      <c r="C29" s="181" t="s">
        <v>64</v>
      </c>
      <c r="D29" s="101" t="s">
        <v>74</v>
      </c>
      <c r="E29" s="175"/>
      <c r="F29" s="147">
        <v>369.18</v>
      </c>
      <c r="G29" s="148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</row>
    <row r="30" spans="1:19" s="145" customFormat="1" ht="26.25" customHeight="1">
      <c r="A30" s="732"/>
      <c r="B30" s="732"/>
      <c r="C30" s="166">
        <v>2110</v>
      </c>
      <c r="D30" s="101" t="s">
        <v>80</v>
      </c>
      <c r="E30" s="175">
        <v>248600</v>
      </c>
      <c r="F30" s="147">
        <v>133398</v>
      </c>
      <c r="G30" s="148">
        <f t="shared" si="0"/>
        <v>53.659694288012872</v>
      </c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</row>
    <row r="31" spans="1:19" s="145" customFormat="1" ht="36.75" customHeight="1">
      <c r="A31" s="732"/>
      <c r="B31" s="732"/>
      <c r="C31" s="166">
        <v>2360</v>
      </c>
      <c r="D31" s="101" t="s">
        <v>148</v>
      </c>
      <c r="E31" s="175"/>
      <c r="F31" s="147">
        <v>12.5</v>
      </c>
      <c r="G31" s="148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</row>
    <row r="32" spans="1:19" s="145" customFormat="1" ht="12">
      <c r="A32" s="142">
        <v>750</v>
      </c>
      <c r="B32" s="142"/>
      <c r="C32" s="142"/>
      <c r="D32" s="161" t="s">
        <v>46</v>
      </c>
      <c r="E32" s="176">
        <f>E33+E35</f>
        <v>117500</v>
      </c>
      <c r="F32" s="143">
        <f>F33+F35</f>
        <v>70680</v>
      </c>
      <c r="G32" s="144">
        <f t="shared" si="0"/>
        <v>60.153191489361703</v>
      </c>
    </row>
    <row r="33" spans="1:19" s="145" customFormat="1" ht="12">
      <c r="A33" s="763" t="s">
        <v>27</v>
      </c>
      <c r="B33" s="146">
        <v>75011</v>
      </c>
      <c r="C33" s="146"/>
      <c r="D33" s="101" t="s">
        <v>91</v>
      </c>
      <c r="E33" s="175">
        <f>E34</f>
        <v>101500</v>
      </c>
      <c r="F33" s="147">
        <f>F34</f>
        <v>54680</v>
      </c>
      <c r="G33" s="148">
        <f t="shared" si="0"/>
        <v>53.871921182266014</v>
      </c>
    </row>
    <row r="34" spans="1:19" s="145" customFormat="1" ht="36">
      <c r="A34" s="763"/>
      <c r="B34" s="146"/>
      <c r="C34" s="137">
        <v>2110</v>
      </c>
      <c r="D34" s="101" t="s">
        <v>80</v>
      </c>
      <c r="E34" s="175">
        <v>101500</v>
      </c>
      <c r="F34" s="147">
        <v>54680</v>
      </c>
      <c r="G34" s="148">
        <f t="shared" si="0"/>
        <v>53.871921182266014</v>
      </c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</row>
    <row r="35" spans="1:19" s="145" customFormat="1" ht="12">
      <c r="A35" s="763"/>
      <c r="B35" s="146">
        <v>75045</v>
      </c>
      <c r="C35" s="146"/>
      <c r="D35" s="101" t="s">
        <v>93</v>
      </c>
      <c r="E35" s="175">
        <f>E36</f>
        <v>16000</v>
      </c>
      <c r="F35" s="147">
        <f>F36</f>
        <v>16000</v>
      </c>
      <c r="G35" s="148">
        <f t="shared" si="0"/>
        <v>100</v>
      </c>
    </row>
    <row r="36" spans="1:19" s="145" customFormat="1" ht="28.5" customHeight="1">
      <c r="A36" s="763"/>
      <c r="B36" s="137"/>
      <c r="C36" s="137">
        <v>2110</v>
      </c>
      <c r="D36" s="101" t="s">
        <v>80</v>
      </c>
      <c r="E36" s="175">
        <v>16000</v>
      </c>
      <c r="F36" s="147">
        <v>16000</v>
      </c>
      <c r="G36" s="148">
        <f t="shared" si="0"/>
        <v>100</v>
      </c>
    </row>
    <row r="37" spans="1:19" s="145" customFormat="1" ht="24">
      <c r="A37" s="165">
        <v>754</v>
      </c>
      <c r="B37" s="160"/>
      <c r="C37" s="160"/>
      <c r="D37" s="161" t="s">
        <v>47</v>
      </c>
      <c r="E37" s="176">
        <f>E38</f>
        <v>2686923</v>
      </c>
      <c r="F37" s="143">
        <f>F38</f>
        <v>1649040.3699999999</v>
      </c>
      <c r="G37" s="144">
        <f t="shared" si="0"/>
        <v>61.372818275774918</v>
      </c>
    </row>
    <row r="38" spans="1:19" s="145" customFormat="1" ht="12">
      <c r="A38" s="734" t="s">
        <v>27</v>
      </c>
      <c r="B38" s="182">
        <v>75411</v>
      </c>
      <c r="C38" s="137"/>
      <c r="D38" s="101" t="s">
        <v>55</v>
      </c>
      <c r="E38" s="175">
        <f>SUM(E39:E40)</f>
        <v>2686923</v>
      </c>
      <c r="F38" s="147">
        <f>SUM(F39:F41)</f>
        <v>1649040.3699999999</v>
      </c>
      <c r="G38" s="148">
        <f t="shared" si="0"/>
        <v>61.372818275774918</v>
      </c>
    </row>
    <row r="39" spans="1:19" s="145" customFormat="1" ht="12">
      <c r="A39" s="735"/>
      <c r="B39" s="734"/>
      <c r="C39" s="181" t="s">
        <v>64</v>
      </c>
      <c r="D39" s="101" t="s">
        <v>74</v>
      </c>
      <c r="E39" s="175"/>
      <c r="F39" s="147">
        <v>3873.64</v>
      </c>
      <c r="G39" s="148"/>
    </row>
    <row r="40" spans="1:19" s="145" customFormat="1" ht="36">
      <c r="A40" s="735"/>
      <c r="B40" s="735"/>
      <c r="C40" s="166">
        <v>2110</v>
      </c>
      <c r="D40" s="101" t="s">
        <v>80</v>
      </c>
      <c r="E40" s="175">
        <v>2686923</v>
      </c>
      <c r="F40" s="147">
        <v>1645162</v>
      </c>
      <c r="G40" s="148">
        <f t="shared" si="0"/>
        <v>61.228475843930028</v>
      </c>
    </row>
    <row r="41" spans="1:19" s="145" customFormat="1" ht="36">
      <c r="A41" s="736"/>
      <c r="B41" s="736"/>
      <c r="C41" s="166">
        <v>2360</v>
      </c>
      <c r="D41" s="101" t="s">
        <v>148</v>
      </c>
      <c r="E41" s="175"/>
      <c r="F41" s="147">
        <v>4.7300000000000004</v>
      </c>
      <c r="G41" s="148"/>
    </row>
    <row r="42" spans="1:19" s="145" customFormat="1" ht="12.75" customHeight="1">
      <c r="A42" s="183">
        <v>851</v>
      </c>
      <c r="B42" s="183"/>
      <c r="C42" s="160"/>
      <c r="D42" s="138" t="s">
        <v>49</v>
      </c>
      <c r="E42" s="176">
        <f>E43</f>
        <v>1936000</v>
      </c>
      <c r="F42" s="143">
        <f>F43</f>
        <v>993796</v>
      </c>
      <c r="G42" s="144">
        <f t="shared" si="0"/>
        <v>51.332438016528926</v>
      </c>
    </row>
    <row r="43" spans="1:19" s="145" customFormat="1" ht="12">
      <c r="A43" s="735"/>
      <c r="B43" s="137">
        <v>85156</v>
      </c>
      <c r="C43" s="137"/>
      <c r="D43" s="184" t="s">
        <v>103</v>
      </c>
      <c r="E43" s="175">
        <f>E44</f>
        <v>1936000</v>
      </c>
      <c r="F43" s="147">
        <f>F44</f>
        <v>993796</v>
      </c>
      <c r="G43" s="148">
        <f t="shared" si="0"/>
        <v>51.332438016528926</v>
      </c>
    </row>
    <row r="44" spans="1:19" s="145" customFormat="1" ht="27.75" customHeight="1">
      <c r="A44" s="735"/>
      <c r="B44" s="137"/>
      <c r="C44" s="137">
        <v>2110</v>
      </c>
      <c r="D44" s="101" t="s">
        <v>80</v>
      </c>
      <c r="E44" s="175">
        <v>1936000</v>
      </c>
      <c r="F44" s="147">
        <v>993796</v>
      </c>
      <c r="G44" s="148">
        <f t="shared" si="0"/>
        <v>51.332438016528926</v>
      </c>
    </row>
    <row r="45" spans="1:19" s="145" customFormat="1" ht="12">
      <c r="A45" s="160">
        <v>852</v>
      </c>
      <c r="B45" s="160"/>
      <c r="C45" s="160"/>
      <c r="D45" s="161" t="s">
        <v>50</v>
      </c>
      <c r="E45" s="176">
        <f>E46</f>
        <v>664150</v>
      </c>
      <c r="F45" s="143">
        <f>F46</f>
        <v>353106.46</v>
      </c>
      <c r="G45" s="144">
        <f t="shared" si="0"/>
        <v>53.16667319129715</v>
      </c>
    </row>
    <row r="46" spans="1:19" s="145" customFormat="1" ht="12">
      <c r="A46" s="734"/>
      <c r="B46" s="137">
        <v>85203</v>
      </c>
      <c r="C46" s="137"/>
      <c r="D46" s="101" t="s">
        <v>106</v>
      </c>
      <c r="E46" s="175">
        <f>SUM(E47:E50)</f>
        <v>664150</v>
      </c>
      <c r="F46" s="147">
        <f>SUM(F47:F50)</f>
        <v>353106.46</v>
      </c>
      <c r="G46" s="148">
        <f t="shared" si="0"/>
        <v>53.16667319129715</v>
      </c>
    </row>
    <row r="47" spans="1:19" s="145" customFormat="1" ht="48">
      <c r="A47" s="735"/>
      <c r="B47" s="735"/>
      <c r="C47" s="132" t="s">
        <v>36</v>
      </c>
      <c r="D47" s="101" t="s">
        <v>149</v>
      </c>
      <c r="E47" s="175">
        <v>5850</v>
      </c>
      <c r="F47" s="147">
        <v>8350</v>
      </c>
      <c r="G47" s="148">
        <f t="shared" si="0"/>
        <v>142.73504273504273</v>
      </c>
    </row>
    <row r="48" spans="1:19" s="145" customFormat="1" ht="12">
      <c r="A48" s="735"/>
      <c r="B48" s="735"/>
      <c r="C48" s="132" t="s">
        <v>64</v>
      </c>
      <c r="D48" s="101" t="s">
        <v>74</v>
      </c>
      <c r="E48" s="175"/>
      <c r="F48" s="147">
        <v>373.34</v>
      </c>
      <c r="G48" s="148"/>
    </row>
    <row r="49" spans="1:7" s="145" customFormat="1" ht="36">
      <c r="A49" s="735"/>
      <c r="B49" s="735"/>
      <c r="C49" s="137">
        <v>2110</v>
      </c>
      <c r="D49" s="101" t="s">
        <v>80</v>
      </c>
      <c r="E49" s="175">
        <v>658300</v>
      </c>
      <c r="F49" s="147">
        <v>344273</v>
      </c>
      <c r="G49" s="148">
        <f t="shared" si="0"/>
        <v>52.297280874981013</v>
      </c>
    </row>
    <row r="50" spans="1:7" s="145" customFormat="1" ht="36">
      <c r="A50" s="736"/>
      <c r="B50" s="736"/>
      <c r="C50" s="137">
        <v>2360</v>
      </c>
      <c r="D50" s="101" t="s">
        <v>148</v>
      </c>
      <c r="E50" s="175"/>
      <c r="F50" s="147">
        <v>110.12</v>
      </c>
      <c r="G50" s="148"/>
    </row>
    <row r="51" spans="1:7" s="145" customFormat="1" ht="12">
      <c r="A51" s="160">
        <v>853</v>
      </c>
      <c r="B51" s="160"/>
      <c r="C51" s="159"/>
      <c r="D51" s="161" t="s">
        <v>51</v>
      </c>
      <c r="E51" s="176">
        <f>E52+E54</f>
        <v>88286</v>
      </c>
      <c r="F51" s="143">
        <f>F52+F54</f>
        <v>51784</v>
      </c>
      <c r="G51" s="144">
        <f t="shared" si="0"/>
        <v>58.65482635978524</v>
      </c>
    </row>
    <row r="52" spans="1:7" s="145" customFormat="1" ht="12">
      <c r="A52" s="746" t="s">
        <v>27</v>
      </c>
      <c r="B52" s="137">
        <v>85321</v>
      </c>
      <c r="C52" s="137"/>
      <c r="D52" s="101" t="s">
        <v>109</v>
      </c>
      <c r="E52" s="175">
        <f>E53</f>
        <v>73000</v>
      </c>
      <c r="F52" s="147">
        <f>F53</f>
        <v>36498</v>
      </c>
      <c r="G52" s="148">
        <f t="shared" si="0"/>
        <v>49.997260273972607</v>
      </c>
    </row>
    <row r="53" spans="1:7" s="145" customFormat="1" ht="36">
      <c r="A53" s="746"/>
      <c r="B53" s="137"/>
      <c r="C53" s="137">
        <v>2110</v>
      </c>
      <c r="D53" s="101" t="s">
        <v>80</v>
      </c>
      <c r="E53" s="175">
        <v>73000</v>
      </c>
      <c r="F53" s="147">
        <v>36498</v>
      </c>
      <c r="G53" s="148">
        <f t="shared" si="0"/>
        <v>49.997260273972607</v>
      </c>
    </row>
    <row r="54" spans="1:7" s="145" customFormat="1" ht="12">
      <c r="A54" s="746"/>
      <c r="B54" s="137">
        <v>85334</v>
      </c>
      <c r="C54" s="132"/>
      <c r="D54" s="101" t="s">
        <v>142</v>
      </c>
      <c r="E54" s="175">
        <v>15286</v>
      </c>
      <c r="F54" s="147">
        <f>F55</f>
        <v>15286</v>
      </c>
      <c r="G54" s="148">
        <f t="shared" si="0"/>
        <v>100</v>
      </c>
    </row>
    <row r="55" spans="1:7" s="145" customFormat="1" ht="36">
      <c r="A55" s="746"/>
      <c r="B55" s="137"/>
      <c r="C55" s="137">
        <v>2110</v>
      </c>
      <c r="D55" s="101" t="s">
        <v>80</v>
      </c>
      <c r="E55" s="175">
        <v>15286</v>
      </c>
      <c r="F55" s="147">
        <v>15286</v>
      </c>
      <c r="G55" s="148">
        <f t="shared" si="0"/>
        <v>100</v>
      </c>
    </row>
    <row r="56" spans="1:7" s="145" customFormat="1" ht="12">
      <c r="A56" s="764" t="s">
        <v>41</v>
      </c>
      <c r="B56" s="765"/>
      <c r="C56" s="765"/>
      <c r="D56" s="766"/>
      <c r="E56" s="176">
        <f>E13+E18+E22+E32+E37+E42+E45+E51</f>
        <v>6083459</v>
      </c>
      <c r="F56" s="143">
        <f>F13+F18+F22+F32+F37+F42+F45+F51</f>
        <v>3453727.3</v>
      </c>
      <c r="G56" s="144">
        <f t="shared" si="0"/>
        <v>56.772426673706519</v>
      </c>
    </row>
    <row r="57" spans="1:7" s="145" customFormat="1" ht="12"/>
  </sheetData>
  <mergeCells count="25">
    <mergeCell ref="A56:D56"/>
    <mergeCell ref="A52:A55"/>
    <mergeCell ref="D1:G1"/>
    <mergeCell ref="F9:F11"/>
    <mergeCell ref="G9:G11"/>
    <mergeCell ref="C9:C11"/>
    <mergeCell ref="D9:D11"/>
    <mergeCell ref="A4:G4"/>
    <mergeCell ref="A3:G3"/>
    <mergeCell ref="A5:G5"/>
    <mergeCell ref="A6:G6"/>
    <mergeCell ref="E9:E11"/>
    <mergeCell ref="A9:A11"/>
    <mergeCell ref="B9:B11"/>
    <mergeCell ref="A19:A21"/>
    <mergeCell ref="B20:B21"/>
    <mergeCell ref="A14:A17"/>
    <mergeCell ref="B47:B50"/>
    <mergeCell ref="A38:A41"/>
    <mergeCell ref="B39:B41"/>
    <mergeCell ref="A23:A31"/>
    <mergeCell ref="B28:B31"/>
    <mergeCell ref="A43:A44"/>
    <mergeCell ref="A33:A36"/>
    <mergeCell ref="A46:A50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>
    <oddFooter>&amp;C&amp;"Times New (W1),Normalny"Załącznik Nr 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19"/>
  <sheetViews>
    <sheetView view="pageLayout" topLeftCell="A7" workbookViewId="0">
      <selection activeCell="D25" sqref="D25"/>
    </sheetView>
  </sheetViews>
  <sheetFormatPr defaultRowHeight="12.75"/>
  <cols>
    <col min="1" max="1" width="4.85546875" style="59" customWidth="1"/>
    <col min="2" max="2" width="6.42578125" style="59" customWidth="1"/>
    <col min="3" max="3" width="5.7109375" style="59" customWidth="1"/>
    <col min="4" max="4" width="38.28515625" style="59" customWidth="1"/>
    <col min="5" max="6" width="11.5703125" style="59" customWidth="1"/>
    <col min="7" max="7" width="7.42578125" style="59" customWidth="1"/>
    <col min="8" max="16384" width="9.140625" style="59"/>
  </cols>
  <sheetData>
    <row r="1" spans="1:7">
      <c r="E1" s="705" t="s">
        <v>10</v>
      </c>
      <c r="F1" s="705"/>
      <c r="G1" s="705"/>
    </row>
    <row r="6" spans="1:7">
      <c r="A6" s="767" t="s">
        <v>3</v>
      </c>
      <c r="B6" s="767"/>
      <c r="C6" s="767"/>
      <c r="D6" s="767"/>
      <c r="E6" s="767"/>
      <c r="F6" s="767"/>
      <c r="G6" s="767"/>
    </row>
    <row r="7" spans="1:7">
      <c r="A7" s="767" t="s">
        <v>4</v>
      </c>
      <c r="B7" s="767"/>
      <c r="C7" s="767"/>
      <c r="D7" s="767"/>
      <c r="E7" s="767"/>
      <c r="F7" s="767"/>
      <c r="G7" s="767"/>
    </row>
    <row r="8" spans="1:7" ht="15" customHeight="1">
      <c r="A8" s="768" t="s">
        <v>11</v>
      </c>
      <c r="B8" s="768"/>
      <c r="C8" s="768"/>
      <c r="D8" s="768"/>
      <c r="E8" s="768"/>
      <c r="F8" s="768"/>
      <c r="G8" s="768"/>
    </row>
    <row r="9" spans="1:7">
      <c r="A9" s="767" t="s">
        <v>320</v>
      </c>
      <c r="B9" s="767"/>
      <c r="C9" s="767"/>
      <c r="D9" s="767"/>
      <c r="E9" s="767"/>
      <c r="F9" s="767"/>
      <c r="G9" s="767"/>
    </row>
    <row r="11" spans="1:7">
      <c r="A11" s="59" t="s">
        <v>7</v>
      </c>
      <c r="F11" s="652" t="s">
        <v>167</v>
      </c>
    </row>
    <row r="12" spans="1:7" s="168" customFormat="1" ht="10.5">
      <c r="A12" s="754" t="s">
        <v>0</v>
      </c>
      <c r="B12" s="754" t="s">
        <v>77</v>
      </c>
      <c r="C12" s="754" t="s">
        <v>78</v>
      </c>
      <c r="D12" s="754" t="s">
        <v>1</v>
      </c>
      <c r="E12" s="751" t="s">
        <v>192</v>
      </c>
      <c r="F12" s="751" t="s">
        <v>456</v>
      </c>
      <c r="G12" s="751" t="s">
        <v>145</v>
      </c>
    </row>
    <row r="13" spans="1:7" s="141" customFormat="1" ht="11.25">
      <c r="A13" s="755"/>
      <c r="B13" s="755"/>
      <c r="C13" s="755"/>
      <c r="D13" s="755"/>
      <c r="E13" s="752"/>
      <c r="F13" s="752"/>
      <c r="G13" s="752"/>
    </row>
    <row r="14" spans="1:7" s="168" customFormat="1" ht="10.5">
      <c r="A14" s="756"/>
      <c r="B14" s="756"/>
      <c r="C14" s="756"/>
      <c r="D14" s="756"/>
      <c r="E14" s="753"/>
      <c r="F14" s="753"/>
      <c r="G14" s="753"/>
    </row>
    <row r="15" spans="1:7" s="141" customFormat="1" ht="9" customHeight="1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63">
        <v>6</v>
      </c>
      <c r="G15" s="63">
        <v>7</v>
      </c>
    </row>
    <row r="16" spans="1:7" s="145" customFormat="1" ht="14.25" customHeight="1">
      <c r="A16" s="142">
        <v>750</v>
      </c>
      <c r="B16" s="142"/>
      <c r="C16" s="142"/>
      <c r="D16" s="161" t="s">
        <v>46</v>
      </c>
      <c r="E16" s="176">
        <f>E17</f>
        <v>2000</v>
      </c>
      <c r="F16" s="143">
        <f>F17</f>
        <v>0</v>
      </c>
      <c r="G16" s="144">
        <f t="shared" ref="G16:G19" si="0">F16/E16*100</f>
        <v>0</v>
      </c>
    </row>
    <row r="17" spans="1:7" s="145" customFormat="1" ht="12">
      <c r="A17" s="763"/>
      <c r="B17" s="146">
        <v>75045</v>
      </c>
      <c r="C17" s="146"/>
      <c r="D17" s="101" t="s">
        <v>93</v>
      </c>
      <c r="E17" s="175">
        <f>E18</f>
        <v>2000</v>
      </c>
      <c r="F17" s="147">
        <f>F18</f>
        <v>0</v>
      </c>
      <c r="G17" s="148">
        <f t="shared" si="0"/>
        <v>0</v>
      </c>
    </row>
    <row r="18" spans="1:7" s="145" customFormat="1" ht="36.75" customHeight="1">
      <c r="A18" s="763"/>
      <c r="B18" s="137"/>
      <c r="C18" s="137">
        <v>2120</v>
      </c>
      <c r="D18" s="101" t="s">
        <v>39</v>
      </c>
      <c r="E18" s="175">
        <v>2000</v>
      </c>
      <c r="F18" s="147">
        <v>0</v>
      </c>
      <c r="G18" s="148">
        <f t="shared" si="0"/>
        <v>0</v>
      </c>
    </row>
    <row r="19" spans="1:7" s="145" customFormat="1" ht="12">
      <c r="A19" s="745" t="s">
        <v>41</v>
      </c>
      <c r="B19" s="745"/>
      <c r="C19" s="745"/>
      <c r="D19" s="745"/>
      <c r="E19" s="176">
        <f>E16</f>
        <v>2000</v>
      </c>
      <c r="F19" s="143">
        <f>F16</f>
        <v>0</v>
      </c>
      <c r="G19" s="144">
        <f t="shared" si="0"/>
        <v>0</v>
      </c>
    </row>
  </sheetData>
  <mergeCells count="14">
    <mergeCell ref="A19:D19"/>
    <mergeCell ref="A17:A18"/>
    <mergeCell ref="F12:F14"/>
    <mergeCell ref="G12:G14"/>
    <mergeCell ref="E12:E14"/>
    <mergeCell ref="A12:A14"/>
    <mergeCell ref="B12:B14"/>
    <mergeCell ref="C12:C14"/>
    <mergeCell ref="D12:D14"/>
    <mergeCell ref="E1:G1"/>
    <mergeCell ref="A6:G6"/>
    <mergeCell ref="A7:G7"/>
    <mergeCell ref="A8:G8"/>
    <mergeCell ref="A9:G9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>
    <oddFooter>&amp;C&amp;"Times New (W1),Normalny"Załącznik Nr 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G29"/>
  <sheetViews>
    <sheetView view="pageLayout" topLeftCell="A4" workbookViewId="0">
      <selection activeCell="D33" sqref="D33"/>
    </sheetView>
  </sheetViews>
  <sheetFormatPr defaultRowHeight="12.75"/>
  <cols>
    <col min="1" max="1" width="5.28515625" style="59" customWidth="1"/>
    <col min="2" max="2" width="7.140625" style="59" customWidth="1"/>
    <col min="3" max="3" width="5.28515625" style="59" customWidth="1"/>
    <col min="4" max="4" width="36" style="59" customWidth="1"/>
    <col min="5" max="5" width="13.42578125" style="59" customWidth="1"/>
    <col min="6" max="6" width="10.7109375" style="59" customWidth="1"/>
    <col min="7" max="7" width="7" style="59" customWidth="1"/>
    <col min="8" max="16384" width="9.140625" style="59"/>
  </cols>
  <sheetData>
    <row r="1" spans="1:7" ht="15" customHeight="1">
      <c r="D1" s="705" t="s">
        <v>117</v>
      </c>
      <c r="E1" s="705"/>
      <c r="F1" s="705"/>
      <c r="G1" s="705"/>
    </row>
    <row r="2" spans="1:7" ht="15">
      <c r="D2" s="769"/>
      <c r="E2" s="769"/>
      <c r="F2" s="139"/>
    </row>
    <row r="3" spans="1:7" ht="15">
      <c r="F3" s="139"/>
    </row>
    <row r="4" spans="1:7">
      <c r="A4" s="767" t="s">
        <v>196</v>
      </c>
      <c r="B4" s="767"/>
      <c r="C4" s="767"/>
      <c r="D4" s="767"/>
      <c r="E4" s="767"/>
      <c r="F4" s="767"/>
      <c r="G4" s="767"/>
    </row>
    <row r="5" spans="1:7">
      <c r="A5" s="767" t="s">
        <v>4</v>
      </c>
      <c r="B5" s="767"/>
      <c r="C5" s="767"/>
      <c r="D5" s="767"/>
      <c r="E5" s="767"/>
      <c r="F5" s="767"/>
      <c r="G5" s="767"/>
    </row>
    <row r="6" spans="1:7">
      <c r="A6" s="771" t="s">
        <v>199</v>
      </c>
      <c r="B6" s="771"/>
      <c r="C6" s="771"/>
      <c r="D6" s="771"/>
      <c r="E6" s="771"/>
      <c r="F6" s="771"/>
      <c r="G6" s="771"/>
    </row>
    <row r="7" spans="1:7">
      <c r="A7" s="767" t="s">
        <v>320</v>
      </c>
      <c r="B7" s="767"/>
      <c r="C7" s="767"/>
      <c r="D7" s="767"/>
      <c r="E7" s="767"/>
      <c r="F7" s="767"/>
      <c r="G7" s="767"/>
    </row>
    <row r="8" spans="1:7" ht="15.75">
      <c r="A8" s="140"/>
      <c r="B8" s="140"/>
      <c r="C8" s="140"/>
      <c r="D8" s="140"/>
      <c r="E8" s="140"/>
      <c r="F8" s="139"/>
    </row>
    <row r="9" spans="1:7" s="145" customFormat="1" ht="12">
      <c r="A9" s="770" t="s">
        <v>7</v>
      </c>
      <c r="B9" s="770"/>
      <c r="C9" s="770"/>
      <c r="D9" s="770"/>
      <c r="F9" s="667" t="s">
        <v>472</v>
      </c>
    </row>
    <row r="10" spans="1:7" s="141" customFormat="1" ht="11.25">
      <c r="A10" s="773" t="s">
        <v>0</v>
      </c>
      <c r="B10" s="773" t="s">
        <v>77</v>
      </c>
      <c r="C10" s="773" t="s">
        <v>78</v>
      </c>
      <c r="D10" s="773" t="s">
        <v>1</v>
      </c>
      <c r="E10" s="751" t="s">
        <v>192</v>
      </c>
      <c r="F10" s="751" t="s">
        <v>455</v>
      </c>
      <c r="G10" s="751" t="s">
        <v>145</v>
      </c>
    </row>
    <row r="11" spans="1:7" s="141" customFormat="1" ht="11.25">
      <c r="A11" s="773"/>
      <c r="B11" s="773"/>
      <c r="C11" s="773"/>
      <c r="D11" s="773"/>
      <c r="E11" s="752"/>
      <c r="F11" s="752"/>
      <c r="G11" s="752"/>
    </row>
    <row r="12" spans="1:7" s="141" customFormat="1" ht="11.25">
      <c r="A12" s="773"/>
      <c r="B12" s="773"/>
      <c r="C12" s="773"/>
      <c r="D12" s="773"/>
      <c r="E12" s="753"/>
      <c r="F12" s="753"/>
      <c r="G12" s="753"/>
    </row>
    <row r="13" spans="1:7" s="141" customFormat="1" ht="11.25">
      <c r="A13" s="63">
        <v>1</v>
      </c>
      <c r="B13" s="63">
        <v>2</v>
      </c>
      <c r="C13" s="63">
        <v>3</v>
      </c>
      <c r="D13" s="63">
        <v>4</v>
      </c>
      <c r="E13" s="63">
        <v>5</v>
      </c>
      <c r="F13" s="63">
        <v>6</v>
      </c>
      <c r="G13" s="63">
        <v>7</v>
      </c>
    </row>
    <row r="14" spans="1:7" s="145" customFormat="1" ht="12">
      <c r="A14" s="612">
        <v>750</v>
      </c>
      <c r="B14" s="612"/>
      <c r="C14" s="612"/>
      <c r="D14" s="613" t="s">
        <v>46</v>
      </c>
      <c r="E14" s="614">
        <v>5000</v>
      </c>
      <c r="F14" s="615">
        <f>F15</f>
        <v>10000</v>
      </c>
      <c r="G14" s="625">
        <f t="shared" ref="G14:G28" si="0">F14/E14*100</f>
        <v>200</v>
      </c>
    </row>
    <row r="15" spans="1:7" s="145" customFormat="1" ht="12">
      <c r="A15" s="774"/>
      <c r="B15" s="63">
        <v>75075</v>
      </c>
      <c r="C15" s="63"/>
      <c r="D15" s="616" t="s">
        <v>161</v>
      </c>
      <c r="E15" s="617">
        <v>5000</v>
      </c>
      <c r="F15" s="618">
        <f>F16</f>
        <v>10000</v>
      </c>
      <c r="G15" s="611">
        <f t="shared" si="0"/>
        <v>200</v>
      </c>
    </row>
    <row r="16" spans="1:7" s="145" customFormat="1" ht="33.75">
      <c r="A16" s="776"/>
      <c r="B16" s="63"/>
      <c r="C16" s="663">
        <v>2310</v>
      </c>
      <c r="D16" s="616" t="s">
        <v>197</v>
      </c>
      <c r="E16" s="617">
        <v>5000</v>
      </c>
      <c r="F16" s="619">
        <v>10000</v>
      </c>
      <c r="G16" s="611">
        <f t="shared" si="0"/>
        <v>200</v>
      </c>
    </row>
    <row r="17" spans="1:7" s="145" customFormat="1" ht="14.25" customHeight="1">
      <c r="A17" s="620">
        <v>754</v>
      </c>
      <c r="B17" s="612"/>
      <c r="C17" s="665"/>
      <c r="D17" s="613" t="s">
        <v>47</v>
      </c>
      <c r="E17" s="614">
        <v>5289</v>
      </c>
      <c r="F17" s="629">
        <f>F18</f>
        <v>5288.68</v>
      </c>
      <c r="G17" s="625">
        <f t="shared" si="0"/>
        <v>99.993949706938935</v>
      </c>
    </row>
    <row r="18" spans="1:7" s="145" customFormat="1" ht="12">
      <c r="A18" s="774"/>
      <c r="B18" s="63">
        <v>75421</v>
      </c>
      <c r="C18" s="663"/>
      <c r="D18" s="616" t="s">
        <v>310</v>
      </c>
      <c r="E18" s="617">
        <v>5289</v>
      </c>
      <c r="F18" s="619">
        <f>F19</f>
        <v>5288.68</v>
      </c>
      <c r="G18" s="611">
        <f t="shared" si="0"/>
        <v>99.993949706938935</v>
      </c>
    </row>
    <row r="19" spans="1:7" s="145" customFormat="1" ht="33.75">
      <c r="A19" s="776"/>
      <c r="B19" s="63"/>
      <c r="C19" s="663">
        <v>2310</v>
      </c>
      <c r="D19" s="616" t="s">
        <v>197</v>
      </c>
      <c r="E19" s="617">
        <v>5289</v>
      </c>
      <c r="F19" s="619">
        <v>5288.68</v>
      </c>
      <c r="G19" s="611">
        <f t="shared" si="0"/>
        <v>99.993949706938935</v>
      </c>
    </row>
    <row r="20" spans="1:7" s="145" customFormat="1" ht="12">
      <c r="A20" s="620">
        <v>851</v>
      </c>
      <c r="B20" s="493"/>
      <c r="C20" s="665"/>
      <c r="D20" s="249" t="s">
        <v>49</v>
      </c>
      <c r="E20" s="614">
        <v>19500</v>
      </c>
      <c r="F20" s="629">
        <f>F21</f>
        <v>12000</v>
      </c>
      <c r="G20" s="625">
        <f t="shared" si="0"/>
        <v>61.53846153846154</v>
      </c>
    </row>
    <row r="21" spans="1:7" s="145" customFormat="1" ht="12">
      <c r="A21" s="774"/>
      <c r="B21" s="490">
        <v>85154</v>
      </c>
      <c r="C21" s="663"/>
      <c r="D21" s="248" t="s">
        <v>102</v>
      </c>
      <c r="E21" s="617">
        <v>19500</v>
      </c>
      <c r="F21" s="619">
        <f>F22</f>
        <v>12000</v>
      </c>
      <c r="G21" s="611">
        <f t="shared" si="0"/>
        <v>61.53846153846154</v>
      </c>
    </row>
    <row r="22" spans="1:7" s="145" customFormat="1" ht="33.75">
      <c r="A22" s="776"/>
      <c r="B22" s="63"/>
      <c r="C22" s="663">
        <v>2310</v>
      </c>
      <c r="D22" s="616" t="s">
        <v>197</v>
      </c>
      <c r="E22" s="617">
        <v>19500</v>
      </c>
      <c r="F22" s="619">
        <v>12000</v>
      </c>
      <c r="G22" s="611">
        <f t="shared" si="0"/>
        <v>61.53846153846154</v>
      </c>
    </row>
    <row r="23" spans="1:7" s="145" customFormat="1" ht="12">
      <c r="A23" s="612">
        <v>852</v>
      </c>
      <c r="B23" s="612"/>
      <c r="C23" s="665"/>
      <c r="D23" s="613" t="s">
        <v>50</v>
      </c>
      <c r="E23" s="614">
        <f>E24+E26</f>
        <v>1296967</v>
      </c>
      <c r="F23" s="621">
        <f>F24+F26</f>
        <v>739564.70000000007</v>
      </c>
      <c r="G23" s="625">
        <f t="shared" si="0"/>
        <v>57.022630490983971</v>
      </c>
    </row>
    <row r="24" spans="1:7" s="145" customFormat="1" ht="12">
      <c r="A24" s="774"/>
      <c r="B24" s="63">
        <v>85201</v>
      </c>
      <c r="C24" s="663"/>
      <c r="D24" s="616" t="s">
        <v>104</v>
      </c>
      <c r="E24" s="617">
        <v>1224095</v>
      </c>
      <c r="F24" s="622">
        <f>F25</f>
        <v>698814.3</v>
      </c>
      <c r="G24" s="611">
        <f t="shared" si="0"/>
        <v>57.088240700272451</v>
      </c>
    </row>
    <row r="25" spans="1:7" s="145" customFormat="1" ht="33.75" customHeight="1">
      <c r="A25" s="775"/>
      <c r="B25" s="63"/>
      <c r="C25" s="663">
        <v>2320</v>
      </c>
      <c r="D25" s="616" t="s">
        <v>198</v>
      </c>
      <c r="E25" s="617">
        <v>1224095</v>
      </c>
      <c r="F25" s="619">
        <v>698814.3</v>
      </c>
      <c r="G25" s="611">
        <f t="shared" si="0"/>
        <v>57.088240700272451</v>
      </c>
    </row>
    <row r="26" spans="1:7" s="145" customFormat="1" ht="12">
      <c r="A26" s="775"/>
      <c r="B26" s="63">
        <v>85204</v>
      </c>
      <c r="C26" s="663"/>
      <c r="D26" s="616" t="s">
        <v>130</v>
      </c>
      <c r="E26" s="617">
        <f>E27</f>
        <v>72872</v>
      </c>
      <c r="F26" s="622">
        <f>F27</f>
        <v>40750.400000000001</v>
      </c>
      <c r="G26" s="611">
        <f t="shared" si="0"/>
        <v>55.920518168844005</v>
      </c>
    </row>
    <row r="27" spans="1:7" s="145" customFormat="1" ht="34.5" customHeight="1">
      <c r="A27" s="776"/>
      <c r="B27" s="63"/>
      <c r="C27" s="663">
        <v>2320</v>
      </c>
      <c r="D27" s="616" t="s">
        <v>198</v>
      </c>
      <c r="E27" s="617">
        <v>72872</v>
      </c>
      <c r="F27" s="619">
        <v>40750.400000000001</v>
      </c>
      <c r="G27" s="611">
        <f t="shared" si="0"/>
        <v>55.920518168844005</v>
      </c>
    </row>
    <row r="28" spans="1:7" s="145" customFormat="1" ht="12">
      <c r="A28" s="772" t="s">
        <v>41</v>
      </c>
      <c r="B28" s="772"/>
      <c r="C28" s="772"/>
      <c r="D28" s="772"/>
      <c r="E28" s="624">
        <f>E14+E17+E20+E23</f>
        <v>1326756</v>
      </c>
      <c r="F28" s="623">
        <f>F14+F17+F20+F23</f>
        <v>766853.38000000012</v>
      </c>
      <c r="G28" s="625">
        <f t="shared" si="0"/>
        <v>57.799126591475755</v>
      </c>
    </row>
    <row r="29" spans="1:7" s="145" customFormat="1" ht="12"/>
  </sheetData>
  <mergeCells count="19">
    <mergeCell ref="A28:D28"/>
    <mergeCell ref="F10:F12"/>
    <mergeCell ref="G10:G12"/>
    <mergeCell ref="A10:A12"/>
    <mergeCell ref="B10:B12"/>
    <mergeCell ref="C10:C12"/>
    <mergeCell ref="D10:D12"/>
    <mergeCell ref="E10:E12"/>
    <mergeCell ref="A24:A27"/>
    <mergeCell ref="A15:A16"/>
    <mergeCell ref="A18:A19"/>
    <mergeCell ref="A21:A22"/>
    <mergeCell ref="D1:G1"/>
    <mergeCell ref="D2:E2"/>
    <mergeCell ref="A9:D9"/>
    <mergeCell ref="A4:G4"/>
    <mergeCell ref="A5:G5"/>
    <mergeCell ref="A6:G6"/>
    <mergeCell ref="A7:G7"/>
  </mergeCells>
  <pageMargins left="0.7" right="0.7" top="0.75" bottom="0.75" header="0.3" footer="0.3"/>
  <pageSetup paperSize="9" orientation="portrait" r:id="rId1"/>
  <headerFooter>
    <oddFooter>&amp;C&amp;"Times New (W1),Normalny"Załącznik Nr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E94"/>
  <sheetViews>
    <sheetView view="pageLayout" topLeftCell="A71" workbookViewId="0">
      <selection activeCell="I97" sqref="I97:J97"/>
    </sheetView>
  </sheetViews>
  <sheetFormatPr defaultRowHeight="12.75"/>
  <cols>
    <col min="1" max="1" width="4.42578125" customWidth="1"/>
    <col min="2" max="2" width="6" customWidth="1"/>
    <col min="3" max="3" width="25.42578125" customWidth="1"/>
    <col min="4" max="4" width="11.5703125" customWidth="1"/>
    <col min="5" max="6" width="13.5703125" customWidth="1"/>
    <col min="7" max="9" width="12.7109375" customWidth="1"/>
    <col min="10" max="10" width="12" customWidth="1"/>
    <col min="11" max="11" width="11.7109375" customWidth="1"/>
    <col min="12" max="12" width="6.42578125" style="393" customWidth="1"/>
  </cols>
  <sheetData>
    <row r="1" spans="1:31">
      <c r="A1" s="47"/>
      <c r="B1" s="47"/>
      <c r="C1" s="47"/>
      <c r="D1" s="47"/>
      <c r="E1" s="47"/>
      <c r="F1" s="47"/>
      <c r="G1" s="47"/>
      <c r="H1" s="47"/>
      <c r="I1" s="787" t="s">
        <v>207</v>
      </c>
      <c r="J1" s="787"/>
      <c r="K1" s="787"/>
      <c r="L1" s="787"/>
    </row>
    <row r="2" spans="1:3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07"/>
    </row>
    <row r="3" spans="1:31" ht="14.25">
      <c r="A3" s="778" t="s">
        <v>12</v>
      </c>
      <c r="B3" s="778"/>
      <c r="C3" s="778"/>
      <c r="D3" s="778"/>
      <c r="E3" s="778"/>
      <c r="F3" s="778"/>
      <c r="G3" s="778"/>
      <c r="H3" s="778"/>
      <c r="I3" s="778"/>
      <c r="J3" s="778"/>
      <c r="K3" s="778"/>
      <c r="L3" s="778"/>
    </row>
    <row r="4" spans="1:31" ht="14.25">
      <c r="A4" s="778" t="s">
        <v>4</v>
      </c>
      <c r="B4" s="778"/>
      <c r="C4" s="778"/>
      <c r="D4" s="778"/>
      <c r="E4" s="778"/>
      <c r="F4" s="778"/>
      <c r="G4" s="778"/>
      <c r="H4" s="778"/>
      <c r="I4" s="778"/>
      <c r="J4" s="778"/>
      <c r="K4" s="778"/>
      <c r="L4" s="778"/>
    </row>
    <row r="5" spans="1:31" ht="15.75" customHeight="1">
      <c r="A5" s="779" t="s">
        <v>5</v>
      </c>
      <c r="B5" s="779"/>
      <c r="C5" s="779"/>
      <c r="D5" s="779"/>
      <c r="E5" s="779"/>
      <c r="F5" s="779"/>
      <c r="G5" s="779"/>
      <c r="H5" s="779"/>
      <c r="I5" s="779"/>
      <c r="J5" s="779"/>
      <c r="K5" s="779"/>
      <c r="L5" s="779"/>
    </row>
    <row r="6" spans="1:31" ht="14.25">
      <c r="A6" s="778" t="s">
        <v>320</v>
      </c>
      <c r="B6" s="778"/>
      <c r="C6" s="778"/>
      <c r="D6" s="778"/>
      <c r="E6" s="778"/>
      <c r="F6" s="778"/>
      <c r="G6" s="778"/>
      <c r="H6" s="778"/>
      <c r="I6" s="778"/>
      <c r="J6" s="778"/>
      <c r="K6" s="778"/>
      <c r="L6" s="778"/>
    </row>
    <row r="7" spans="1:3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07"/>
    </row>
    <row r="8" spans="1:31">
      <c r="A8" s="47" t="s">
        <v>7</v>
      </c>
      <c r="B8" s="47"/>
      <c r="C8" s="47"/>
      <c r="D8" s="47"/>
      <c r="E8" s="47"/>
      <c r="F8" s="47"/>
      <c r="G8" s="47"/>
      <c r="H8" s="47"/>
      <c r="I8" s="47"/>
      <c r="J8" s="47"/>
      <c r="K8" s="108" t="s">
        <v>166</v>
      </c>
    </row>
    <row r="9" spans="1:31" s="6" customFormat="1" ht="12.75" customHeight="1">
      <c r="A9" s="783" t="s">
        <v>0</v>
      </c>
      <c r="B9" s="783" t="s">
        <v>13</v>
      </c>
      <c r="C9" s="783" t="s">
        <v>1</v>
      </c>
      <c r="D9" s="784" t="s">
        <v>192</v>
      </c>
      <c r="E9" s="362"/>
      <c r="F9" s="788" t="s">
        <v>174</v>
      </c>
      <c r="G9" s="789"/>
      <c r="H9" s="789"/>
      <c r="I9" s="789"/>
      <c r="J9" s="789"/>
      <c r="K9" s="789"/>
      <c r="L9" s="780" t="s">
        <v>141</v>
      </c>
    </row>
    <row r="10" spans="1:31" s="6" customFormat="1" ht="12.75" customHeight="1">
      <c r="A10" s="783"/>
      <c r="B10" s="783"/>
      <c r="C10" s="783"/>
      <c r="D10" s="784"/>
      <c r="E10" s="363" t="s">
        <v>144</v>
      </c>
      <c r="F10" s="790" t="s">
        <v>14</v>
      </c>
      <c r="G10" s="99" t="s">
        <v>15</v>
      </c>
      <c r="H10" s="99"/>
      <c r="I10" s="99"/>
      <c r="J10" s="99"/>
      <c r="K10" s="783" t="s">
        <v>175</v>
      </c>
      <c r="L10" s="781"/>
    </row>
    <row r="11" spans="1:31" s="6" customFormat="1" ht="29.25" customHeight="1">
      <c r="A11" s="783"/>
      <c r="B11" s="783"/>
      <c r="C11" s="783"/>
      <c r="D11" s="784"/>
      <c r="E11" s="364"/>
      <c r="F11" s="790"/>
      <c r="G11" s="439" t="s">
        <v>362</v>
      </c>
      <c r="H11" s="439" t="s">
        <v>363</v>
      </c>
      <c r="I11" s="439" t="s">
        <v>364</v>
      </c>
      <c r="J11" s="440" t="s">
        <v>16</v>
      </c>
      <c r="K11" s="783"/>
      <c r="L11" s="782"/>
    </row>
    <row r="12" spans="1:31" s="105" customFormat="1" ht="11.25">
      <c r="A12" s="75">
        <v>1</v>
      </c>
      <c r="B12" s="75">
        <v>2</v>
      </c>
      <c r="C12" s="75">
        <v>3</v>
      </c>
      <c r="D12" s="75">
        <v>4</v>
      </c>
      <c r="E12" s="426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  <c r="K12" s="75">
        <v>11</v>
      </c>
      <c r="L12" s="408">
        <v>12</v>
      </c>
    </row>
    <row r="13" spans="1:31" s="3" customFormat="1">
      <c r="A13" s="410" t="s">
        <v>28</v>
      </c>
      <c r="B13" s="411"/>
      <c r="C13" s="412" t="s">
        <v>42</v>
      </c>
      <c r="D13" s="413">
        <f>D14+D15</f>
        <v>88100</v>
      </c>
      <c r="E13" s="414">
        <f>E14+E15</f>
        <v>8590.7800000000007</v>
      </c>
      <c r="F13" s="415">
        <f>F14+F15</f>
        <v>8590.7800000000007</v>
      </c>
      <c r="G13" s="419">
        <v>0</v>
      </c>
      <c r="H13" s="419">
        <v>0</v>
      </c>
      <c r="I13" s="419">
        <v>0</v>
      </c>
      <c r="J13" s="419">
        <v>0</v>
      </c>
      <c r="K13" s="419">
        <v>0</v>
      </c>
      <c r="L13" s="409">
        <f>E13/D13*100</f>
        <v>9.7511691259931901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>
      <c r="A14" s="785" t="s">
        <v>27</v>
      </c>
      <c r="B14" s="416" t="s">
        <v>63</v>
      </c>
      <c r="C14" s="417" t="s">
        <v>79</v>
      </c>
      <c r="D14" s="418">
        <v>88000</v>
      </c>
      <c r="E14" s="419">
        <v>8540</v>
      </c>
      <c r="F14" s="419">
        <v>8540</v>
      </c>
      <c r="G14" s="419">
        <v>0</v>
      </c>
      <c r="H14" s="419">
        <v>0</v>
      </c>
      <c r="I14" s="419">
        <v>0</v>
      </c>
      <c r="J14" s="419">
        <v>0</v>
      </c>
      <c r="K14" s="419">
        <v>0</v>
      </c>
      <c r="L14" s="409">
        <f t="shared" ref="L14:L81" si="0">E14/D14*100</f>
        <v>9.704545454545455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>
      <c r="A15" s="785"/>
      <c r="B15" s="416" t="s">
        <v>137</v>
      </c>
      <c r="C15" s="420" t="s">
        <v>138</v>
      </c>
      <c r="D15" s="418">
        <v>100</v>
      </c>
      <c r="E15" s="419">
        <v>50.78</v>
      </c>
      <c r="F15" s="419">
        <v>50.78</v>
      </c>
      <c r="G15" s="419">
        <v>0</v>
      </c>
      <c r="H15" s="419">
        <v>0</v>
      </c>
      <c r="I15" s="419">
        <v>0</v>
      </c>
      <c r="J15" s="419">
        <v>0</v>
      </c>
      <c r="K15" s="419">
        <v>0</v>
      </c>
      <c r="L15" s="409">
        <f t="shared" si="0"/>
        <v>50.78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s="4" customFormat="1">
      <c r="A16" s="410" t="s">
        <v>29</v>
      </c>
      <c r="B16" s="410"/>
      <c r="C16" s="421" t="s">
        <v>43</v>
      </c>
      <c r="D16" s="422">
        <f>D17+D18</f>
        <v>269000</v>
      </c>
      <c r="E16" s="423">
        <f>E17+E18</f>
        <v>118946.35</v>
      </c>
      <c r="F16" s="423">
        <f>F17+F18</f>
        <v>118946.35</v>
      </c>
      <c r="G16" s="419">
        <v>0</v>
      </c>
      <c r="H16" s="419">
        <v>0</v>
      </c>
      <c r="I16" s="419">
        <v>0</v>
      </c>
      <c r="J16" s="419">
        <v>0</v>
      </c>
      <c r="K16" s="419">
        <v>0</v>
      </c>
      <c r="L16" s="409">
        <f t="shared" si="0"/>
        <v>44.217973977695166</v>
      </c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>
      <c r="A17" s="785"/>
      <c r="B17" s="416" t="s">
        <v>81</v>
      </c>
      <c r="C17" s="424" t="s">
        <v>82</v>
      </c>
      <c r="D17" s="418">
        <v>247000</v>
      </c>
      <c r="E17" s="419">
        <v>118946.35</v>
      </c>
      <c r="F17" s="419">
        <v>118946.35</v>
      </c>
      <c r="G17" s="419">
        <v>0</v>
      </c>
      <c r="H17" s="419">
        <v>0</v>
      </c>
      <c r="I17" s="419">
        <v>0</v>
      </c>
      <c r="J17" s="419">
        <v>0</v>
      </c>
      <c r="K17" s="419">
        <v>0</v>
      </c>
      <c r="L17" s="409">
        <f t="shared" si="0"/>
        <v>48.156417004048585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>
      <c r="A18" s="785"/>
      <c r="B18" s="416" t="s">
        <v>118</v>
      </c>
      <c r="C18" s="417" t="s">
        <v>119</v>
      </c>
      <c r="D18" s="418">
        <v>22000</v>
      </c>
      <c r="E18" s="419">
        <v>0</v>
      </c>
      <c r="F18" s="419">
        <v>0</v>
      </c>
      <c r="G18" s="419">
        <v>0</v>
      </c>
      <c r="H18" s="419">
        <v>0</v>
      </c>
      <c r="I18" s="419">
        <v>0</v>
      </c>
      <c r="J18" s="419">
        <v>0</v>
      </c>
      <c r="K18" s="419">
        <v>0</v>
      </c>
      <c r="L18" s="409">
        <f t="shared" si="0"/>
        <v>0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46" customFormat="1">
      <c r="A19" s="411">
        <v>150</v>
      </c>
      <c r="B19" s="410"/>
      <c r="C19" s="425" t="s">
        <v>180</v>
      </c>
      <c r="D19" s="422">
        <f>D20</f>
        <v>91012</v>
      </c>
      <c r="E19" s="423">
        <f>E20</f>
        <v>36164.21</v>
      </c>
      <c r="F19" s="423">
        <f>F20</f>
        <v>36164.21</v>
      </c>
      <c r="G19" s="423">
        <f>G20</f>
        <v>21450</v>
      </c>
      <c r="H19" s="423">
        <f>H20</f>
        <v>3764.52</v>
      </c>
      <c r="I19" s="419">
        <v>0</v>
      </c>
      <c r="J19" s="419">
        <v>0</v>
      </c>
      <c r="K19" s="419">
        <v>0</v>
      </c>
      <c r="L19" s="409">
        <f t="shared" si="0"/>
        <v>39.735650243923878</v>
      </c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</row>
    <row r="20" spans="1:31">
      <c r="A20" s="75"/>
      <c r="B20" s="416">
        <v>15011</v>
      </c>
      <c r="C20" s="417" t="s">
        <v>181</v>
      </c>
      <c r="D20" s="418">
        <v>91012</v>
      </c>
      <c r="E20" s="419">
        <v>36164.21</v>
      </c>
      <c r="F20" s="419">
        <v>36164.21</v>
      </c>
      <c r="G20" s="419">
        <f>1950+14625+4875</f>
        <v>21450</v>
      </c>
      <c r="H20" s="419">
        <f>3238.95+525.57</f>
        <v>3764.52</v>
      </c>
      <c r="I20" s="419">
        <v>0</v>
      </c>
      <c r="J20" s="419">
        <v>0</v>
      </c>
      <c r="K20" s="419">
        <v>0</v>
      </c>
      <c r="L20" s="409">
        <f t="shared" si="0"/>
        <v>39.735650243923878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4" customFormat="1">
      <c r="A21" s="411">
        <v>600</v>
      </c>
      <c r="B21" s="410"/>
      <c r="C21" s="425" t="s">
        <v>84</v>
      </c>
      <c r="D21" s="422">
        <f>D22</f>
        <v>1919966</v>
      </c>
      <c r="E21" s="423">
        <f>E22</f>
        <v>723689.33</v>
      </c>
      <c r="F21" s="423">
        <f>F22</f>
        <v>723689.33</v>
      </c>
      <c r="G21" s="423">
        <f>G22</f>
        <v>273836.11</v>
      </c>
      <c r="H21" s="423">
        <f>H22</f>
        <v>40659.89</v>
      </c>
      <c r="I21" s="419">
        <v>0</v>
      </c>
      <c r="J21" s="419">
        <v>0</v>
      </c>
      <c r="K21" s="419">
        <v>0</v>
      </c>
      <c r="L21" s="409">
        <f t="shared" si="0"/>
        <v>37.692820081188941</v>
      </c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>
      <c r="A22" s="75"/>
      <c r="B22" s="416">
        <v>60014</v>
      </c>
      <c r="C22" s="417" t="s">
        <v>54</v>
      </c>
      <c r="D22" s="418">
        <v>1919966</v>
      </c>
      <c r="E22" s="419">
        <v>723689.33</v>
      </c>
      <c r="F22" s="419">
        <f>E22</f>
        <v>723689.33</v>
      </c>
      <c r="G22" s="419">
        <f>230446.95+37199.16+6190</f>
        <v>273836.11</v>
      </c>
      <c r="H22" s="419">
        <f>34988.38+5671.51</f>
        <v>40659.89</v>
      </c>
      <c r="I22" s="419">
        <v>0</v>
      </c>
      <c r="J22" s="419">
        <v>0</v>
      </c>
      <c r="K22" s="419">
        <v>0</v>
      </c>
      <c r="L22" s="409">
        <f t="shared" si="0"/>
        <v>37.692820081188941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4" customFormat="1">
      <c r="A23" s="411">
        <v>700</v>
      </c>
      <c r="B23" s="410"/>
      <c r="C23" s="425" t="s">
        <v>44</v>
      </c>
      <c r="D23" s="422">
        <f>D24</f>
        <v>425100</v>
      </c>
      <c r="E23" s="423">
        <f>E24</f>
        <v>331882.73</v>
      </c>
      <c r="F23" s="423">
        <f>F24</f>
        <v>331882.73</v>
      </c>
      <c r="G23" s="419">
        <v>0</v>
      </c>
      <c r="H23" s="419">
        <v>0</v>
      </c>
      <c r="I23" s="419">
        <v>0</v>
      </c>
      <c r="J23" s="419">
        <v>0</v>
      </c>
      <c r="K23" s="419">
        <v>0</v>
      </c>
      <c r="L23" s="409">
        <f t="shared" si="0"/>
        <v>78.071684309574223</v>
      </c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>
      <c r="A24" s="75" t="s">
        <v>27</v>
      </c>
      <c r="B24" s="75">
        <v>70005</v>
      </c>
      <c r="C24" s="417" t="s">
        <v>85</v>
      </c>
      <c r="D24" s="418">
        <v>425100</v>
      </c>
      <c r="E24" s="419">
        <v>331882.73</v>
      </c>
      <c r="F24" s="419">
        <f>E24</f>
        <v>331882.73</v>
      </c>
      <c r="G24" s="419">
        <v>0</v>
      </c>
      <c r="H24" s="419">
        <v>0</v>
      </c>
      <c r="I24" s="419">
        <v>0</v>
      </c>
      <c r="J24" s="419">
        <v>0</v>
      </c>
      <c r="K24" s="419">
        <v>0</v>
      </c>
      <c r="L24" s="409">
        <f t="shared" si="0"/>
        <v>78.071684309574223</v>
      </c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4" customFormat="1">
      <c r="A25" s="411">
        <v>710</v>
      </c>
      <c r="B25" s="411"/>
      <c r="C25" s="425" t="s">
        <v>120</v>
      </c>
      <c r="D25" s="422">
        <f>D26+D27+D28+D29</f>
        <v>341600</v>
      </c>
      <c r="E25" s="423">
        <f>E26+E27+E28</f>
        <v>115584.77</v>
      </c>
      <c r="F25" s="423">
        <f>F26+F27+F28+F29</f>
        <v>115584.77</v>
      </c>
      <c r="G25" s="423">
        <f>G26+G27+G28</f>
        <v>91160.97</v>
      </c>
      <c r="H25" s="423">
        <f>H26+H27+H28</f>
        <v>16307.54</v>
      </c>
      <c r="I25" s="419">
        <v>0</v>
      </c>
      <c r="J25" s="419">
        <v>0</v>
      </c>
      <c r="K25" s="423">
        <f>K29</f>
        <v>0</v>
      </c>
      <c r="L25" s="409">
        <f t="shared" si="0"/>
        <v>33.83629098360656</v>
      </c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>
      <c r="A26" s="785" t="s">
        <v>27</v>
      </c>
      <c r="B26" s="75">
        <v>71013</v>
      </c>
      <c r="C26" s="417" t="s">
        <v>121</v>
      </c>
      <c r="D26" s="418">
        <v>74000</v>
      </c>
      <c r="E26" s="419">
        <v>0</v>
      </c>
      <c r="F26" s="419">
        <v>0</v>
      </c>
      <c r="G26" s="419">
        <v>0</v>
      </c>
      <c r="H26" s="419">
        <v>0</v>
      </c>
      <c r="I26" s="419">
        <v>0</v>
      </c>
      <c r="J26" s="419">
        <v>0</v>
      </c>
      <c r="K26" s="419">
        <v>0</v>
      </c>
      <c r="L26" s="409">
        <f t="shared" si="0"/>
        <v>0</v>
      </c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ht="12.75" customHeight="1">
      <c r="A27" s="785"/>
      <c r="B27" s="75">
        <v>71014</v>
      </c>
      <c r="C27" s="424" t="s">
        <v>87</v>
      </c>
      <c r="D27" s="418">
        <v>19000</v>
      </c>
      <c r="E27" s="419">
        <v>0</v>
      </c>
      <c r="F27" s="419">
        <v>0</v>
      </c>
      <c r="G27" s="419">
        <v>0</v>
      </c>
      <c r="H27" s="419">
        <v>0</v>
      </c>
      <c r="I27" s="419">
        <v>0</v>
      </c>
      <c r="J27" s="419">
        <v>0</v>
      </c>
      <c r="K27" s="419">
        <v>0</v>
      </c>
      <c r="L27" s="409">
        <f t="shared" si="0"/>
        <v>0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13.5" customHeight="1">
      <c r="A28" s="785"/>
      <c r="B28" s="75">
        <v>71015</v>
      </c>
      <c r="C28" s="424" t="s">
        <v>88</v>
      </c>
      <c r="D28" s="418">
        <v>248600</v>
      </c>
      <c r="E28" s="419">
        <v>115584.77</v>
      </c>
      <c r="F28" s="419">
        <f>E28</f>
        <v>115584.77</v>
      </c>
      <c r="G28" s="419">
        <f>28890+51611.51+10659.46</f>
        <v>91160.97</v>
      </c>
      <c r="H28" s="419">
        <f>14149.09+2158.45</f>
        <v>16307.54</v>
      </c>
      <c r="I28" s="419">
        <v>0</v>
      </c>
      <c r="J28" s="419">
        <v>0</v>
      </c>
      <c r="K28" s="419"/>
      <c r="L28" s="409">
        <f t="shared" si="0"/>
        <v>46.494275945293644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ht="13.5" hidden="1" customHeight="1">
      <c r="A29" s="75">
        <v>0</v>
      </c>
      <c r="B29" s="75">
        <v>71095</v>
      </c>
      <c r="C29" s="424" t="s">
        <v>89</v>
      </c>
      <c r="D29" s="418">
        <v>0</v>
      </c>
      <c r="E29" s="419"/>
      <c r="F29" s="419">
        <v>0</v>
      </c>
      <c r="G29" s="419"/>
      <c r="H29" s="419"/>
      <c r="I29" s="419"/>
      <c r="J29" s="419"/>
      <c r="K29" s="419">
        <v>0</v>
      </c>
      <c r="L29" s="409" t="e">
        <f t="shared" si="0"/>
        <v>#DIV/0!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4" customFormat="1">
      <c r="A30" s="411">
        <v>750</v>
      </c>
      <c r="B30" s="411"/>
      <c r="C30" s="421" t="s">
        <v>46</v>
      </c>
      <c r="D30" s="422">
        <f>D31+D34+D32+D33+D36+D35</f>
        <v>5218153</v>
      </c>
      <c r="E30" s="423">
        <f>SUM(E31:E36)</f>
        <v>2401247.8699999996</v>
      </c>
      <c r="F30" s="423">
        <f t="shared" ref="F30:K30" si="1">SUM(F31:F36)</f>
        <v>2392322.8699999996</v>
      </c>
      <c r="G30" s="423">
        <f t="shared" si="1"/>
        <v>1310244.8500000001</v>
      </c>
      <c r="H30" s="423">
        <f t="shared" si="1"/>
        <v>211529.04</v>
      </c>
      <c r="I30" s="423">
        <f t="shared" si="1"/>
        <v>1356</v>
      </c>
      <c r="J30" s="423">
        <f t="shared" si="1"/>
        <v>0</v>
      </c>
      <c r="K30" s="423">
        <f t="shared" si="1"/>
        <v>8925</v>
      </c>
      <c r="L30" s="409">
        <f t="shared" si="0"/>
        <v>46.017199380700404</v>
      </c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>
      <c r="A31" s="785" t="s">
        <v>27</v>
      </c>
      <c r="B31" s="75">
        <v>75011</v>
      </c>
      <c r="C31" s="424" t="s">
        <v>91</v>
      </c>
      <c r="D31" s="418">
        <v>101500</v>
      </c>
      <c r="E31" s="419">
        <v>50750</v>
      </c>
      <c r="F31" s="419">
        <v>50750</v>
      </c>
      <c r="G31" s="419">
        <v>43175</v>
      </c>
      <c r="H31" s="419">
        <f>F31-G31</f>
        <v>7575</v>
      </c>
      <c r="I31" s="419">
        <v>0</v>
      </c>
      <c r="J31" s="419">
        <v>0</v>
      </c>
      <c r="K31" s="419">
        <v>0</v>
      </c>
      <c r="L31" s="409">
        <f t="shared" si="0"/>
        <v>50</v>
      </c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>
      <c r="A32" s="785"/>
      <c r="B32" s="75">
        <v>75019</v>
      </c>
      <c r="C32" s="424" t="s">
        <v>122</v>
      </c>
      <c r="D32" s="418">
        <v>212900</v>
      </c>
      <c r="E32" s="419">
        <v>108632.61</v>
      </c>
      <c r="F32" s="419">
        <f>E32</f>
        <v>108632.61</v>
      </c>
      <c r="G32" s="419">
        <v>0</v>
      </c>
      <c r="H32" s="419">
        <v>0</v>
      </c>
      <c r="I32" s="419">
        <v>0</v>
      </c>
      <c r="J32" s="419">
        <v>0</v>
      </c>
      <c r="K32" s="419">
        <v>0</v>
      </c>
      <c r="L32" s="409">
        <f t="shared" si="0"/>
        <v>51.025180836073268</v>
      </c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>
      <c r="A33" s="785"/>
      <c r="B33" s="75">
        <v>75020</v>
      </c>
      <c r="C33" s="424" t="s">
        <v>92</v>
      </c>
      <c r="D33" s="418">
        <v>4679397</v>
      </c>
      <c r="E33" s="419">
        <v>2075032.21</v>
      </c>
      <c r="F33" s="419">
        <f>E33-K33</f>
        <v>2070777.21</v>
      </c>
      <c r="G33" s="427">
        <f>1042096.05+156813.8+57200</f>
        <v>1256109.8500000001</v>
      </c>
      <c r="H33" s="419">
        <f>174854.22+28713.72</f>
        <v>203567.94</v>
      </c>
      <c r="I33" s="419">
        <v>0</v>
      </c>
      <c r="J33" s="419">
        <v>0</v>
      </c>
      <c r="K33" s="419">
        <v>4255</v>
      </c>
      <c r="L33" s="409">
        <f t="shared" si="0"/>
        <v>44.344008640429522</v>
      </c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>
      <c r="A34" s="785"/>
      <c r="B34" s="75">
        <v>75045</v>
      </c>
      <c r="C34" s="424" t="s">
        <v>93</v>
      </c>
      <c r="D34" s="418">
        <v>18000</v>
      </c>
      <c r="E34" s="419">
        <v>15998.71</v>
      </c>
      <c r="F34" s="419">
        <f>E34</f>
        <v>15998.71</v>
      </c>
      <c r="G34" s="427">
        <f>10960</f>
        <v>10960</v>
      </c>
      <c r="H34" s="419">
        <f>332.2+53.9</f>
        <v>386.09999999999997</v>
      </c>
      <c r="I34" s="419">
        <v>0</v>
      </c>
      <c r="J34" s="419">
        <v>0</v>
      </c>
      <c r="K34" s="419">
        <v>0</v>
      </c>
      <c r="L34" s="409">
        <f t="shared" si="0"/>
        <v>88.881722222222209</v>
      </c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ht="25.5" customHeight="1">
      <c r="A35" s="785"/>
      <c r="B35" s="75">
        <v>75075</v>
      </c>
      <c r="C35" s="424" t="s">
        <v>161</v>
      </c>
      <c r="D35" s="418">
        <v>85000</v>
      </c>
      <c r="E35" s="419">
        <v>53674.9</v>
      </c>
      <c r="F35" s="419">
        <f>E35-K35</f>
        <v>49004.9</v>
      </c>
      <c r="G35" s="419">
        <v>0</v>
      </c>
      <c r="H35" s="419">
        <v>0</v>
      </c>
      <c r="I35" s="419">
        <v>0</v>
      </c>
      <c r="J35" s="419">
        <v>0</v>
      </c>
      <c r="K35" s="419">
        <v>4670</v>
      </c>
      <c r="L35" s="409">
        <f t="shared" si="0"/>
        <v>63.146941176470591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>
      <c r="A36" s="785"/>
      <c r="B36" s="75">
        <v>75095</v>
      </c>
      <c r="C36" s="424" t="s">
        <v>89</v>
      </c>
      <c r="D36" s="418">
        <v>121356</v>
      </c>
      <c r="E36" s="419">
        <v>97159.44</v>
      </c>
      <c r="F36" s="419">
        <f>E36</f>
        <v>97159.44</v>
      </c>
      <c r="G36" s="419">
        <v>0</v>
      </c>
      <c r="H36" s="419">
        <v>0</v>
      </c>
      <c r="I36" s="419">
        <v>1356</v>
      </c>
      <c r="J36" s="419">
        <v>0</v>
      </c>
      <c r="K36" s="419">
        <v>0</v>
      </c>
      <c r="L36" s="409">
        <f t="shared" si="0"/>
        <v>80.061504993572626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4" customFormat="1" ht="12" customHeight="1">
      <c r="A37" s="411">
        <v>754</v>
      </c>
      <c r="B37" s="411"/>
      <c r="C37" s="421" t="s">
        <v>123</v>
      </c>
      <c r="D37" s="422">
        <f>D39+D38+D41+D42</f>
        <v>2866523</v>
      </c>
      <c r="E37" s="423">
        <f>E38+E39+E41+E42</f>
        <v>1461291.87</v>
      </c>
      <c r="F37" s="423">
        <f t="shared" ref="F37:K37" si="2">F38+F39+F41+F42</f>
        <v>1401291.87</v>
      </c>
      <c r="G37" s="423">
        <f t="shared" si="2"/>
        <v>1089574.8399999999</v>
      </c>
      <c r="H37" s="423">
        <f t="shared" si="2"/>
        <v>3201.07</v>
      </c>
      <c r="I37" s="423">
        <f t="shared" si="2"/>
        <v>55000</v>
      </c>
      <c r="J37" s="419">
        <v>0</v>
      </c>
      <c r="K37" s="423">
        <f t="shared" si="2"/>
        <v>60000</v>
      </c>
      <c r="L37" s="409">
        <f t="shared" si="0"/>
        <v>50.977852610985508</v>
      </c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4" customFormat="1">
      <c r="A38" s="786"/>
      <c r="B38" s="442">
        <v>75405</v>
      </c>
      <c r="C38" s="428" t="s">
        <v>321</v>
      </c>
      <c r="D38" s="429">
        <v>80000</v>
      </c>
      <c r="E38" s="430">
        <v>80000</v>
      </c>
      <c r="F38" s="430">
        <v>20000</v>
      </c>
      <c r="G38" s="419">
        <v>0</v>
      </c>
      <c r="H38" s="419">
        <v>0</v>
      </c>
      <c r="I38" s="430">
        <v>20000</v>
      </c>
      <c r="J38" s="419">
        <v>0</v>
      </c>
      <c r="K38" s="430">
        <v>60000</v>
      </c>
      <c r="L38" s="409">
        <f t="shared" si="0"/>
        <v>100</v>
      </c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ht="22.5">
      <c r="A39" s="786"/>
      <c r="B39" s="75">
        <v>75411</v>
      </c>
      <c r="C39" s="424" t="s">
        <v>125</v>
      </c>
      <c r="D39" s="418">
        <v>2686923</v>
      </c>
      <c r="E39" s="419">
        <v>1337581.55</v>
      </c>
      <c r="F39" s="419">
        <f>E39</f>
        <v>1337581.55</v>
      </c>
      <c r="G39" s="419">
        <f>15423.98+1869.87+857085.74+93892.45+114837.8+6465</f>
        <v>1089574.8399999999</v>
      </c>
      <c r="H39" s="419">
        <f>2777.36+423.71</f>
        <v>3201.07</v>
      </c>
      <c r="I39" s="419">
        <v>0</v>
      </c>
      <c r="J39" s="419">
        <v>0</v>
      </c>
      <c r="K39" s="419">
        <v>0</v>
      </c>
      <c r="L39" s="409">
        <f t="shared" si="0"/>
        <v>49.781164179248904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ht="12.75" hidden="1" customHeight="1">
      <c r="A40" s="786"/>
      <c r="B40" s="75">
        <v>75414</v>
      </c>
      <c r="C40" s="424" t="s">
        <v>94</v>
      </c>
      <c r="D40" s="418">
        <v>0</v>
      </c>
      <c r="E40" s="419"/>
      <c r="F40" s="419">
        <v>0</v>
      </c>
      <c r="G40" s="419"/>
      <c r="H40" s="419"/>
      <c r="I40" s="419"/>
      <c r="J40" s="419">
        <v>0</v>
      </c>
      <c r="K40" s="419">
        <v>0</v>
      </c>
      <c r="L40" s="409" t="e">
        <f t="shared" si="0"/>
        <v>#DIV/0!</v>
      </c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>
      <c r="A41" s="786"/>
      <c r="B41" s="75">
        <v>75412</v>
      </c>
      <c r="C41" s="424" t="s">
        <v>322</v>
      </c>
      <c r="D41" s="418">
        <v>35000</v>
      </c>
      <c r="E41" s="419">
        <v>35000</v>
      </c>
      <c r="F41" s="419">
        <v>35000</v>
      </c>
      <c r="G41" s="419">
        <v>0</v>
      </c>
      <c r="H41" s="419">
        <v>0</v>
      </c>
      <c r="I41" s="419">
        <v>35000</v>
      </c>
      <c r="J41" s="419">
        <v>0</v>
      </c>
      <c r="K41" s="419">
        <v>0</v>
      </c>
      <c r="L41" s="409">
        <f t="shared" si="0"/>
        <v>100</v>
      </c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>
      <c r="A42" s="786"/>
      <c r="B42" s="75">
        <v>75421</v>
      </c>
      <c r="C42" s="424" t="s">
        <v>310</v>
      </c>
      <c r="D42" s="418">
        <v>64600</v>
      </c>
      <c r="E42" s="419">
        <v>8710.32</v>
      </c>
      <c r="F42" s="419">
        <f>E42</f>
        <v>8710.32</v>
      </c>
      <c r="G42" s="419">
        <v>0</v>
      </c>
      <c r="H42" s="419">
        <v>0</v>
      </c>
      <c r="I42" s="419">
        <v>0</v>
      </c>
      <c r="J42" s="419">
        <v>0</v>
      </c>
      <c r="K42" s="419">
        <v>0</v>
      </c>
      <c r="L42" s="409">
        <f t="shared" si="0"/>
        <v>13.483467492260063</v>
      </c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4" customFormat="1">
      <c r="A43" s="411">
        <v>757</v>
      </c>
      <c r="B43" s="411"/>
      <c r="C43" s="421" t="s">
        <v>126</v>
      </c>
      <c r="D43" s="422">
        <f>D44</f>
        <v>343158</v>
      </c>
      <c r="E43" s="423">
        <f>E44</f>
        <v>202689.35</v>
      </c>
      <c r="F43" s="423">
        <f>F44</f>
        <v>202689.35</v>
      </c>
      <c r="G43" s="419">
        <v>0</v>
      </c>
      <c r="H43" s="419">
        <v>0</v>
      </c>
      <c r="I43" s="419">
        <v>0</v>
      </c>
      <c r="J43" s="423">
        <f>J44</f>
        <v>202689.35</v>
      </c>
      <c r="K43" s="419">
        <v>0</v>
      </c>
      <c r="L43" s="409">
        <f t="shared" si="0"/>
        <v>59.065896758927373</v>
      </c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ht="23.25" customHeight="1">
      <c r="A44" s="75"/>
      <c r="B44" s="75">
        <v>75702</v>
      </c>
      <c r="C44" s="424" t="s">
        <v>168</v>
      </c>
      <c r="D44" s="418">
        <v>343158</v>
      </c>
      <c r="E44" s="419">
        <v>202689.35</v>
      </c>
      <c r="F44" s="419">
        <f>E44</f>
        <v>202689.35</v>
      </c>
      <c r="G44" s="419">
        <v>0</v>
      </c>
      <c r="H44" s="419">
        <v>0</v>
      </c>
      <c r="I44" s="419">
        <v>0</v>
      </c>
      <c r="J44" s="419">
        <f>E44</f>
        <v>202689.35</v>
      </c>
      <c r="K44" s="419">
        <v>0</v>
      </c>
      <c r="L44" s="409">
        <f t="shared" si="0"/>
        <v>59.065896758927373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4" customFormat="1">
      <c r="A45" s="411">
        <v>801</v>
      </c>
      <c r="B45" s="411"/>
      <c r="C45" s="421" t="s">
        <v>69</v>
      </c>
      <c r="D45" s="422">
        <f>SUM(D46:D53)</f>
        <v>11215146</v>
      </c>
      <c r="E45" s="437">
        <f t="shared" ref="E45:K45" si="3">SUM(E46:E53)</f>
        <v>5931895.8800000008</v>
      </c>
      <c r="F45" s="437">
        <f t="shared" si="3"/>
        <v>5924095.8800000008</v>
      </c>
      <c r="G45" s="437">
        <f t="shared" si="3"/>
        <v>3613130.2800000007</v>
      </c>
      <c r="H45" s="437">
        <f t="shared" si="3"/>
        <v>612868.54000000015</v>
      </c>
      <c r="I45" s="437">
        <f t="shared" si="3"/>
        <v>566898</v>
      </c>
      <c r="J45" s="437">
        <f t="shared" si="3"/>
        <v>0</v>
      </c>
      <c r="K45" s="437">
        <f t="shared" si="3"/>
        <v>7800</v>
      </c>
      <c r="L45" s="409">
        <f t="shared" si="0"/>
        <v>52.891829317246518</v>
      </c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>
      <c r="A46" s="785"/>
      <c r="B46" s="75">
        <v>80102</v>
      </c>
      <c r="C46" s="424" t="s">
        <v>56</v>
      </c>
      <c r="D46" s="418">
        <v>1064837</v>
      </c>
      <c r="E46" s="419">
        <f>562564.46+200</f>
        <v>562764.46</v>
      </c>
      <c r="F46" s="419">
        <f>E46</f>
        <v>562764.46</v>
      </c>
      <c r="G46" s="427">
        <f>366559.84+49105.57+1026.87</f>
        <v>416692.28</v>
      </c>
      <c r="H46" s="419">
        <f>58262.06+9807.98</f>
        <v>68070.039999999994</v>
      </c>
      <c r="I46" s="419">
        <v>0</v>
      </c>
      <c r="J46" s="419">
        <v>0</v>
      </c>
      <c r="K46" s="419">
        <v>0</v>
      </c>
      <c r="L46" s="409">
        <f t="shared" si="0"/>
        <v>52.849822085445943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>
      <c r="A47" s="785"/>
      <c r="B47" s="75">
        <v>80111</v>
      </c>
      <c r="C47" s="424" t="s">
        <v>128</v>
      </c>
      <c r="D47" s="418">
        <v>745617</v>
      </c>
      <c r="E47" s="419">
        <v>420674.71</v>
      </c>
      <c r="F47" s="419">
        <f>E47</f>
        <v>420674.71</v>
      </c>
      <c r="G47" s="427">
        <f>174243.92+28022.03+104712.4+10354.11</f>
        <v>317332.45999999996</v>
      </c>
      <c r="H47" s="419">
        <f>27575.52+4271.87+22591.96+2644.33</f>
        <v>57083.68</v>
      </c>
      <c r="I47" s="419">
        <v>0</v>
      </c>
      <c r="J47" s="419">
        <v>0</v>
      </c>
      <c r="K47" s="419">
        <v>0</v>
      </c>
      <c r="L47" s="409">
        <f t="shared" si="0"/>
        <v>56.419677931163051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>
      <c r="A48" s="785"/>
      <c r="B48" s="75">
        <v>80120</v>
      </c>
      <c r="C48" s="424" t="s">
        <v>62</v>
      </c>
      <c r="D48" s="418">
        <v>3886288</v>
      </c>
      <c r="E48" s="419">
        <v>2006073.48</v>
      </c>
      <c r="F48" s="419">
        <f>E48</f>
        <v>2006073.48</v>
      </c>
      <c r="G48" s="419">
        <f>652780.85+101490.54+2437.4+249545.45+25499+5520+99298.56+17726.53+707.4+54435.52+7808.83</f>
        <v>1217250.08</v>
      </c>
      <c r="H48" s="419">
        <f>113707.27+17852.34+39930.43+6314.23+16067.35+2727.34+9179.09+1436.95</f>
        <v>207215.00000000003</v>
      </c>
      <c r="I48" s="419">
        <v>179034.7</v>
      </c>
      <c r="J48" s="419">
        <v>0</v>
      </c>
      <c r="K48" s="419">
        <v>0</v>
      </c>
      <c r="L48" s="409">
        <f t="shared" si="0"/>
        <v>51.619269596077288</v>
      </c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31">
      <c r="A49" s="785"/>
      <c r="B49" s="75">
        <v>80123</v>
      </c>
      <c r="C49" s="424" t="s">
        <v>57</v>
      </c>
      <c r="D49" s="431">
        <v>821694</v>
      </c>
      <c r="E49" s="427">
        <v>440162.08</v>
      </c>
      <c r="F49" s="427">
        <f>E49</f>
        <v>440162.08</v>
      </c>
      <c r="G49" s="427">
        <f>82149.64+11747.55+33100.05+5908.84+235.8+3452</f>
        <v>136593.88</v>
      </c>
      <c r="H49" s="419">
        <f>13396.9+2104.6+5355.34+908.86+525+85</f>
        <v>22375.7</v>
      </c>
      <c r="I49" s="419">
        <v>245539.3</v>
      </c>
      <c r="J49" s="419">
        <v>0</v>
      </c>
      <c r="K49" s="419">
        <v>0</v>
      </c>
      <c r="L49" s="409">
        <f t="shared" si="0"/>
        <v>53.567639534912026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>
      <c r="A50" s="785"/>
      <c r="B50" s="75">
        <v>80130</v>
      </c>
      <c r="C50" s="424" t="s">
        <v>58</v>
      </c>
      <c r="D50" s="431">
        <v>4336671</v>
      </c>
      <c r="E50" s="427">
        <v>2293440.9900000002</v>
      </c>
      <c r="F50" s="427">
        <f>E50-K50</f>
        <v>2285640.9900000002</v>
      </c>
      <c r="G50" s="427">
        <f>1009890.41+150180.69+11406+229890.8+41648.96+33100.86+5908.84+235.8</f>
        <v>1482262.3600000003</v>
      </c>
      <c r="H50" s="419">
        <f>173243.29+24561.69+39594.98+6728.23+5355.2+908.82</f>
        <v>250392.21000000005</v>
      </c>
      <c r="I50" s="419">
        <v>142324</v>
      </c>
      <c r="J50" s="419">
        <v>0</v>
      </c>
      <c r="K50" s="419">
        <f>7800</f>
        <v>7800</v>
      </c>
      <c r="L50" s="409">
        <f t="shared" si="0"/>
        <v>52.88482778610598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31" ht="22.5">
      <c r="A51" s="785"/>
      <c r="B51" s="75">
        <v>80140</v>
      </c>
      <c r="C51" s="424" t="s">
        <v>323</v>
      </c>
      <c r="D51" s="431">
        <v>141116</v>
      </c>
      <c r="E51" s="427">
        <v>92968.45</v>
      </c>
      <c r="F51" s="427">
        <f>E51</f>
        <v>92968.45</v>
      </c>
      <c r="G51" s="427">
        <f>11302.31+12016.23</f>
        <v>23318.54</v>
      </c>
      <c r="H51" s="419">
        <f>2291.6+363.14</f>
        <v>2654.74</v>
      </c>
      <c r="I51" s="419">
        <v>0</v>
      </c>
      <c r="J51" s="419">
        <v>0</v>
      </c>
      <c r="K51" s="419">
        <v>0</v>
      </c>
      <c r="L51" s="409">
        <f t="shared" si="0"/>
        <v>65.880871056435836</v>
      </c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31" ht="12.75" customHeight="1">
      <c r="A52" s="785"/>
      <c r="B52" s="75">
        <v>80146</v>
      </c>
      <c r="C52" s="424" t="s">
        <v>100</v>
      </c>
      <c r="D52" s="418">
        <v>47889</v>
      </c>
      <c r="E52" s="419">
        <v>25998.29</v>
      </c>
      <c r="F52" s="419">
        <f>E52</f>
        <v>25998.29</v>
      </c>
      <c r="G52" s="419">
        <v>0</v>
      </c>
      <c r="H52" s="419">
        <v>0</v>
      </c>
      <c r="I52" s="419">
        <v>0</v>
      </c>
      <c r="J52" s="419">
        <v>0</v>
      </c>
      <c r="K52" s="419">
        <v>0</v>
      </c>
      <c r="L52" s="409">
        <f t="shared" si="0"/>
        <v>54.288646662072715</v>
      </c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31" ht="12.75" customHeight="1">
      <c r="A53" s="785"/>
      <c r="B53" s="75">
        <v>80148</v>
      </c>
      <c r="C53" s="424" t="s">
        <v>324</v>
      </c>
      <c r="D53" s="418">
        <v>171034</v>
      </c>
      <c r="E53" s="419">
        <v>89813.42</v>
      </c>
      <c r="F53" s="419">
        <f>E53</f>
        <v>89813.42</v>
      </c>
      <c r="G53" s="419">
        <f>19680.68</f>
        <v>19680.68</v>
      </c>
      <c r="H53" s="419">
        <f>4679+398.17</f>
        <v>5077.17</v>
      </c>
      <c r="I53" s="419">
        <v>0</v>
      </c>
      <c r="J53" s="419">
        <v>0</v>
      </c>
      <c r="K53" s="419">
        <v>0</v>
      </c>
      <c r="L53" s="409">
        <f t="shared" si="0"/>
        <v>52.512026848462881</v>
      </c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31" s="4" customFormat="1" ht="13.5" customHeight="1">
      <c r="A54" s="411">
        <v>851</v>
      </c>
      <c r="B54" s="411"/>
      <c r="C54" s="432" t="s">
        <v>49</v>
      </c>
      <c r="D54" s="422">
        <f>D56+D57+D55</f>
        <v>2545500</v>
      </c>
      <c r="E54" s="437">
        <f t="shared" ref="E54:K54" si="4">E56+E57+E55</f>
        <v>982282.7</v>
      </c>
      <c r="F54" s="437">
        <f t="shared" si="4"/>
        <v>971257.63</v>
      </c>
      <c r="G54" s="419">
        <v>0</v>
      </c>
      <c r="H54" s="419">
        <v>0</v>
      </c>
      <c r="I54" s="419">
        <v>0</v>
      </c>
      <c r="J54" s="419">
        <v>0</v>
      </c>
      <c r="K54" s="437">
        <f t="shared" si="4"/>
        <v>11025.07</v>
      </c>
      <c r="L54" s="409">
        <f t="shared" si="0"/>
        <v>38.588988410921232</v>
      </c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31" s="4" customFormat="1" ht="13.5" customHeight="1">
      <c r="A55" s="786"/>
      <c r="B55" s="442">
        <v>85111</v>
      </c>
      <c r="C55" s="433" t="s">
        <v>101</v>
      </c>
      <c r="D55" s="429">
        <v>590000</v>
      </c>
      <c r="E55" s="430">
        <v>11025.07</v>
      </c>
      <c r="F55" s="419">
        <v>0</v>
      </c>
      <c r="G55" s="419">
        <v>0</v>
      </c>
      <c r="H55" s="419">
        <v>0</v>
      </c>
      <c r="I55" s="419">
        <v>0</v>
      </c>
      <c r="J55" s="419">
        <v>0</v>
      </c>
      <c r="K55" s="430">
        <v>11025.07</v>
      </c>
      <c r="L55" s="409">
        <f t="shared" si="0"/>
        <v>1.8686559322033898</v>
      </c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31" s="5" customFormat="1" ht="12.75" customHeight="1">
      <c r="A56" s="786"/>
      <c r="B56" s="75">
        <v>85154</v>
      </c>
      <c r="C56" s="434" t="s">
        <v>102</v>
      </c>
      <c r="D56" s="418">
        <v>19500</v>
      </c>
      <c r="E56" s="419">
        <v>5482.92</v>
      </c>
      <c r="F56" s="419">
        <f>E56</f>
        <v>5482.92</v>
      </c>
      <c r="G56" s="419">
        <v>0</v>
      </c>
      <c r="H56" s="419">
        <v>0</v>
      </c>
      <c r="I56" s="419">
        <v>0</v>
      </c>
      <c r="J56" s="419">
        <v>0</v>
      </c>
      <c r="K56" s="419">
        <v>0</v>
      </c>
      <c r="L56" s="409">
        <f t="shared" si="0"/>
        <v>28.117538461538459</v>
      </c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31">
      <c r="A57" s="786"/>
      <c r="B57" s="75">
        <v>85156</v>
      </c>
      <c r="C57" s="435" t="s">
        <v>103</v>
      </c>
      <c r="D57" s="418">
        <v>1936000</v>
      </c>
      <c r="E57" s="419">
        <v>965774.71</v>
      </c>
      <c r="F57" s="419">
        <f>E57</f>
        <v>965774.71</v>
      </c>
      <c r="G57" s="419">
        <v>0</v>
      </c>
      <c r="H57" s="419">
        <v>0</v>
      </c>
      <c r="I57" s="419">
        <v>0</v>
      </c>
      <c r="J57" s="419">
        <v>0</v>
      </c>
      <c r="K57" s="419">
        <v>0</v>
      </c>
      <c r="L57" s="409">
        <f t="shared" si="0"/>
        <v>49.885057334710744</v>
      </c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31" s="4" customFormat="1">
      <c r="A58" s="411">
        <v>852</v>
      </c>
      <c r="B58" s="411"/>
      <c r="C58" s="421" t="s">
        <v>50</v>
      </c>
      <c r="D58" s="422">
        <f>SUM(D59:D65)</f>
        <v>8320768</v>
      </c>
      <c r="E58" s="437">
        <f t="shared" ref="E58:I58" si="5">SUM(E59:E65)</f>
        <v>3761286.8500000006</v>
      </c>
      <c r="F58" s="437">
        <f t="shared" si="5"/>
        <v>3761286.8500000006</v>
      </c>
      <c r="G58" s="437">
        <f t="shared" si="5"/>
        <v>917529.62000000011</v>
      </c>
      <c r="H58" s="437">
        <f t="shared" si="5"/>
        <v>154693.91</v>
      </c>
      <c r="I58" s="437">
        <f t="shared" si="5"/>
        <v>1494405.87</v>
      </c>
      <c r="J58" s="419">
        <v>0</v>
      </c>
      <c r="K58" s="419">
        <v>0</v>
      </c>
      <c r="L58" s="409">
        <f t="shared" si="0"/>
        <v>45.203601999238543</v>
      </c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31" s="5" customFormat="1" ht="12.75" customHeight="1">
      <c r="A59" s="785"/>
      <c r="B59" s="75">
        <v>85201</v>
      </c>
      <c r="C59" s="424" t="s">
        <v>104</v>
      </c>
      <c r="D59" s="418">
        <v>3573628</v>
      </c>
      <c r="E59" s="419">
        <v>1462935.29</v>
      </c>
      <c r="F59" s="419">
        <f>E59</f>
        <v>1462935.29</v>
      </c>
      <c r="G59" s="419">
        <f>450373.65+60051.48+12085.55+14863.84+2307.77+2332</f>
        <v>542014.29</v>
      </c>
      <c r="H59" s="419">
        <f>77781.83+11649.3+2833.5+432.27</f>
        <v>92696.900000000009</v>
      </c>
      <c r="I59" s="419">
        <f>35014.27+489185.73</f>
        <v>524200</v>
      </c>
      <c r="J59" s="419">
        <v>0</v>
      </c>
      <c r="K59" s="419">
        <v>0</v>
      </c>
      <c r="L59" s="409">
        <f t="shared" si="0"/>
        <v>40.936977491781462</v>
      </c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31" s="5" customFormat="1">
      <c r="A60" s="785"/>
      <c r="B60" s="75">
        <v>85202</v>
      </c>
      <c r="C60" s="424" t="s">
        <v>105</v>
      </c>
      <c r="D60" s="418">
        <v>1970000</v>
      </c>
      <c r="E60" s="419">
        <v>925015</v>
      </c>
      <c r="F60" s="419">
        <f>E60</f>
        <v>925015</v>
      </c>
      <c r="G60" s="419">
        <v>0</v>
      </c>
      <c r="H60" s="419">
        <v>0</v>
      </c>
      <c r="I60" s="419">
        <f>F60</f>
        <v>925015</v>
      </c>
      <c r="J60" s="419">
        <v>0</v>
      </c>
      <c r="K60" s="419">
        <v>0</v>
      </c>
      <c r="L60" s="409">
        <f t="shared" si="0"/>
        <v>46.955076142131979</v>
      </c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31">
      <c r="A61" s="785"/>
      <c r="B61" s="75">
        <v>85203</v>
      </c>
      <c r="C61" s="424" t="s">
        <v>106</v>
      </c>
      <c r="D61" s="418">
        <v>664150</v>
      </c>
      <c r="E61" s="419">
        <v>300631.53000000003</v>
      </c>
      <c r="F61" s="427">
        <f>E61</f>
        <v>300631.53000000003</v>
      </c>
      <c r="G61" s="427">
        <f>96134.19+13579.98+4000+56398.22+4979.37+13741.17</f>
        <v>188832.93000000002</v>
      </c>
      <c r="H61" s="419">
        <f>17187.5+2622.02+7753.03+1230.23</f>
        <v>28792.78</v>
      </c>
      <c r="I61" s="419">
        <v>0</v>
      </c>
      <c r="J61" s="419">
        <v>0</v>
      </c>
      <c r="K61" s="419">
        <v>0</v>
      </c>
      <c r="L61" s="409">
        <f t="shared" si="0"/>
        <v>45.265607167055641</v>
      </c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A62" s="785"/>
      <c r="B62" s="75">
        <v>85204</v>
      </c>
      <c r="C62" s="424" t="s">
        <v>130</v>
      </c>
      <c r="D62" s="418">
        <v>1662358</v>
      </c>
      <c r="E62" s="419">
        <v>840038.16</v>
      </c>
      <c r="F62" s="419">
        <f>E62</f>
        <v>840038.16</v>
      </c>
      <c r="G62" s="427">
        <f>51999.4</f>
        <v>51999.4</v>
      </c>
      <c r="H62" s="419">
        <f>8028.69+1273.97</f>
        <v>9302.66</v>
      </c>
      <c r="I62" s="419">
        <v>45190.87</v>
      </c>
      <c r="J62" s="419">
        <v>0</v>
      </c>
      <c r="K62" s="419">
        <v>0</v>
      </c>
      <c r="L62" s="409">
        <f t="shared" si="0"/>
        <v>50.532927323717281</v>
      </c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31" ht="12.75" hidden="1" customHeight="1">
      <c r="A63" s="785"/>
      <c r="B63" s="75">
        <v>85216</v>
      </c>
      <c r="C63" s="424" t="s">
        <v>107</v>
      </c>
      <c r="D63" s="418"/>
      <c r="E63" s="419"/>
      <c r="F63" s="419"/>
      <c r="G63" s="419"/>
      <c r="H63" s="419"/>
      <c r="I63" s="419"/>
      <c r="J63" s="419">
        <v>0</v>
      </c>
      <c r="K63" s="419">
        <v>0</v>
      </c>
      <c r="L63" s="409" t="e">
        <f t="shared" si="0"/>
        <v>#DIV/0!</v>
      </c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1:31" ht="12.75" customHeight="1">
      <c r="A64" s="785"/>
      <c r="B64" s="75">
        <v>85218</v>
      </c>
      <c r="C64" s="424" t="s">
        <v>108</v>
      </c>
      <c r="D64" s="418">
        <v>448052</v>
      </c>
      <c r="E64" s="419">
        <v>230086.87</v>
      </c>
      <c r="F64" s="419">
        <f>E64</f>
        <v>230086.87</v>
      </c>
      <c r="G64" s="427">
        <f>107434.22+15948.78+11300</f>
        <v>134683</v>
      </c>
      <c r="H64" s="419">
        <f>20568.53+3333.04</f>
        <v>23901.57</v>
      </c>
      <c r="I64" s="419">
        <v>0</v>
      </c>
      <c r="J64" s="419">
        <v>0</v>
      </c>
      <c r="K64" s="419">
        <v>0</v>
      </c>
      <c r="L64" s="409">
        <f t="shared" si="0"/>
        <v>51.352715756206869</v>
      </c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ht="12.75" customHeight="1">
      <c r="A65" s="785"/>
      <c r="B65" s="75">
        <v>85233</v>
      </c>
      <c r="C65" s="424" t="s">
        <v>100</v>
      </c>
      <c r="D65" s="418">
        <v>2580</v>
      </c>
      <c r="E65" s="419">
        <v>2580</v>
      </c>
      <c r="F65" s="419">
        <f>E65</f>
        <v>2580</v>
      </c>
      <c r="G65" s="419">
        <v>0</v>
      </c>
      <c r="H65" s="419">
        <v>0</v>
      </c>
      <c r="I65" s="419">
        <v>0</v>
      </c>
      <c r="J65" s="419">
        <v>0</v>
      </c>
      <c r="K65" s="419">
        <v>0</v>
      </c>
      <c r="L65" s="409">
        <f t="shared" si="0"/>
        <v>100</v>
      </c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s="4" customFormat="1" ht="21">
      <c r="A66" s="411">
        <v>853</v>
      </c>
      <c r="B66" s="411"/>
      <c r="C66" s="421" t="s">
        <v>132</v>
      </c>
      <c r="D66" s="422">
        <f>D68+D69+D70+D71+D67</f>
        <v>2719128</v>
      </c>
      <c r="E66" s="437">
        <f t="shared" ref="E66:K66" si="6">E68+E69+E70+E71+E67</f>
        <v>1453229</v>
      </c>
      <c r="F66" s="437">
        <f t="shared" si="6"/>
        <v>1453229</v>
      </c>
      <c r="G66" s="437">
        <f t="shared" si="6"/>
        <v>668054.5199999999</v>
      </c>
      <c r="H66" s="437">
        <f t="shared" si="6"/>
        <v>103911.63</v>
      </c>
      <c r="I66" s="437">
        <f t="shared" si="6"/>
        <v>528754.43999999994</v>
      </c>
      <c r="J66" s="437">
        <f t="shared" si="6"/>
        <v>0</v>
      </c>
      <c r="K66" s="437">
        <f t="shared" si="6"/>
        <v>0</v>
      </c>
      <c r="L66" s="409">
        <f t="shared" si="0"/>
        <v>53.44467049730649</v>
      </c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s="5" customFormat="1" ht="22.5">
      <c r="A67" s="785"/>
      <c r="B67" s="75">
        <v>85311</v>
      </c>
      <c r="C67" s="436" t="s">
        <v>184</v>
      </c>
      <c r="D67" s="418">
        <v>10000</v>
      </c>
      <c r="E67" s="419">
        <v>0</v>
      </c>
      <c r="F67" s="419">
        <v>0</v>
      </c>
      <c r="G67" s="419">
        <v>0</v>
      </c>
      <c r="H67" s="419">
        <v>0</v>
      </c>
      <c r="I67" s="419">
        <v>0</v>
      </c>
      <c r="J67" s="419">
        <v>0</v>
      </c>
      <c r="K67" s="419">
        <v>0</v>
      </c>
      <c r="L67" s="409">
        <f t="shared" si="0"/>
        <v>0</v>
      </c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2" customHeight="1">
      <c r="A68" s="785"/>
      <c r="B68" s="75">
        <v>85321</v>
      </c>
      <c r="C68" s="424" t="s">
        <v>133</v>
      </c>
      <c r="D68" s="418">
        <v>73000</v>
      </c>
      <c r="E68" s="419">
        <v>31395.25</v>
      </c>
      <c r="F68" s="419">
        <f>E68</f>
        <v>31395.25</v>
      </c>
      <c r="G68" s="419">
        <f>12789.76+2132.82+4126</f>
        <v>19048.580000000002</v>
      </c>
      <c r="H68" s="419">
        <f>2520.81+377.06</f>
        <v>2897.87</v>
      </c>
      <c r="I68" s="419">
        <v>0</v>
      </c>
      <c r="J68" s="419">
        <v>0</v>
      </c>
      <c r="K68" s="419">
        <v>0</v>
      </c>
      <c r="L68" s="409">
        <f t="shared" si="0"/>
        <v>43.00719178082192</v>
      </c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ht="14.25" customHeight="1">
      <c r="A69" s="785"/>
      <c r="B69" s="75">
        <v>85333</v>
      </c>
      <c r="C69" s="424" t="s">
        <v>110</v>
      </c>
      <c r="D69" s="418">
        <v>1545442</v>
      </c>
      <c r="E69" s="419">
        <v>759829.77</v>
      </c>
      <c r="F69" s="419">
        <f>E69</f>
        <v>759829.77</v>
      </c>
      <c r="G69" s="419">
        <f>496761.41+72667.39+23328.1</f>
        <v>592756.89999999991</v>
      </c>
      <c r="H69" s="419">
        <f>83463.25+12996.32</f>
        <v>96459.57</v>
      </c>
      <c r="I69" s="419">
        <v>0</v>
      </c>
      <c r="J69" s="419">
        <v>0</v>
      </c>
      <c r="K69" s="419">
        <v>0</v>
      </c>
      <c r="L69" s="409">
        <f t="shared" si="0"/>
        <v>49.165854816939103</v>
      </c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ht="14.25" customHeight="1">
      <c r="A70" s="785"/>
      <c r="B70" s="75">
        <v>85334</v>
      </c>
      <c r="C70" s="434" t="s">
        <v>142</v>
      </c>
      <c r="D70" s="418">
        <v>15286</v>
      </c>
      <c r="E70" s="419">
        <v>12587.4</v>
      </c>
      <c r="F70" s="419">
        <f>E70</f>
        <v>12587.4</v>
      </c>
      <c r="G70" s="419">
        <v>0</v>
      </c>
      <c r="H70" s="419">
        <v>0</v>
      </c>
      <c r="I70" s="419">
        <v>0</v>
      </c>
      <c r="J70" s="419">
        <v>0</v>
      </c>
      <c r="K70" s="419">
        <v>0</v>
      </c>
      <c r="L70" s="409">
        <f t="shared" si="0"/>
        <v>82.345937459112918</v>
      </c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ht="14.25" customHeight="1">
      <c r="A71" s="785"/>
      <c r="B71" s="75">
        <v>85395</v>
      </c>
      <c r="C71" s="434" t="s">
        <v>89</v>
      </c>
      <c r="D71" s="418">
        <v>1075400</v>
      </c>
      <c r="E71" s="419">
        <v>649416.57999999996</v>
      </c>
      <c r="F71" s="419">
        <f>E71</f>
        <v>649416.57999999996</v>
      </c>
      <c r="G71" s="419">
        <f>2644.32+155.68+23260.58+1369.42+18819.04+10000</f>
        <v>56249.04</v>
      </c>
      <c r="H71" s="419">
        <f>529.3+31.17+64.79+3.81+3377.19+547.93</f>
        <v>4554.1899999999996</v>
      </c>
      <c r="I71" s="419">
        <f>499355.69+29398.75</f>
        <v>528754.43999999994</v>
      </c>
      <c r="J71" s="419">
        <v>0</v>
      </c>
      <c r="K71" s="419">
        <v>0</v>
      </c>
      <c r="L71" s="409">
        <f t="shared" si="0"/>
        <v>60.38837455830388</v>
      </c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4" customFormat="1" ht="12.75" customHeight="1">
      <c r="A72" s="411">
        <v>854</v>
      </c>
      <c r="B72" s="411" t="s">
        <v>27</v>
      </c>
      <c r="C72" s="421" t="s">
        <v>111</v>
      </c>
      <c r="D72" s="422">
        <f>SUM(D73:D79)</f>
        <v>3647976</v>
      </c>
      <c r="E72" s="437">
        <f t="shared" ref="E72:K72" si="7">SUM(E73:E79)</f>
        <v>1844682.4</v>
      </c>
      <c r="F72" s="437">
        <f t="shared" si="7"/>
        <v>1844682.4</v>
      </c>
      <c r="G72" s="437">
        <f t="shared" si="7"/>
        <v>906172.21000000008</v>
      </c>
      <c r="H72" s="437">
        <f t="shared" si="7"/>
        <v>139329.01</v>
      </c>
      <c r="I72" s="437">
        <f t="shared" si="7"/>
        <v>384752</v>
      </c>
      <c r="J72" s="419">
        <v>0</v>
      </c>
      <c r="K72" s="437">
        <f t="shared" si="7"/>
        <v>0</v>
      </c>
      <c r="L72" s="409">
        <f t="shared" si="0"/>
        <v>50.567284433888815</v>
      </c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ht="11.25" customHeight="1">
      <c r="A73" s="785"/>
      <c r="B73" s="75">
        <v>85406</v>
      </c>
      <c r="C73" s="424" t="s">
        <v>59</v>
      </c>
      <c r="D73" s="418">
        <v>656421</v>
      </c>
      <c r="E73" s="419">
        <v>333879.3</v>
      </c>
      <c r="F73" s="419">
        <f t="shared" ref="F73:F79" si="8">E73</f>
        <v>333879.3</v>
      </c>
      <c r="G73" s="427">
        <f>208833.61+29482.95+3633.86</f>
        <v>241950.41999999998</v>
      </c>
      <c r="H73" s="419">
        <f>33250.4+5096.88</f>
        <v>38347.279999999999</v>
      </c>
      <c r="I73" s="419">
        <v>0</v>
      </c>
      <c r="J73" s="419">
        <v>0</v>
      </c>
      <c r="K73" s="419">
        <v>0</v>
      </c>
      <c r="L73" s="409">
        <f t="shared" si="0"/>
        <v>50.863592115425924</v>
      </c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ht="12.75" customHeight="1">
      <c r="A74" s="785"/>
      <c r="B74" s="75">
        <v>85407</v>
      </c>
      <c r="C74" s="424" t="s">
        <v>60</v>
      </c>
      <c r="D74" s="418">
        <v>434578</v>
      </c>
      <c r="E74" s="419">
        <v>208771.02</v>
      </c>
      <c r="F74" s="419">
        <f t="shared" si="8"/>
        <v>208771.02</v>
      </c>
      <c r="G74" s="427">
        <f>105138.73+15284.28+35068</f>
        <v>155491.01</v>
      </c>
      <c r="H74" s="419">
        <f>16754.43+2645.22</f>
        <v>19399.650000000001</v>
      </c>
      <c r="I74" s="419">
        <v>0</v>
      </c>
      <c r="J74" s="419">
        <v>0</v>
      </c>
      <c r="K74" s="419">
        <v>0</v>
      </c>
      <c r="L74" s="409">
        <f t="shared" si="0"/>
        <v>48.03994219679781</v>
      </c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>
      <c r="A75" s="785"/>
      <c r="B75" s="75">
        <v>85410</v>
      </c>
      <c r="C75" s="424" t="s">
        <v>61</v>
      </c>
      <c r="D75" s="431">
        <v>527787</v>
      </c>
      <c r="E75" s="427">
        <v>334023.28999999998</v>
      </c>
      <c r="F75" s="419">
        <f t="shared" si="8"/>
        <v>334023.28999999998</v>
      </c>
      <c r="G75" s="427">
        <f>59876.43+7064.26+97233.16+17848.78</f>
        <v>182022.63</v>
      </c>
      <c r="H75" s="419">
        <f>8552.95+1331.93+15354.41+2765.78</f>
        <v>28005.07</v>
      </c>
      <c r="I75" s="419">
        <v>0</v>
      </c>
      <c r="J75" s="419">
        <v>0</v>
      </c>
      <c r="K75" s="419">
        <v>0</v>
      </c>
      <c r="L75" s="409">
        <f t="shared" si="0"/>
        <v>63.287517502325741</v>
      </c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>
      <c r="A76" s="785"/>
      <c r="B76" s="75">
        <v>85415</v>
      </c>
      <c r="C76" s="424" t="s">
        <v>113</v>
      </c>
      <c r="D76" s="431">
        <v>9600</v>
      </c>
      <c r="E76" s="427">
        <v>9600</v>
      </c>
      <c r="F76" s="419">
        <f t="shared" si="8"/>
        <v>9600</v>
      </c>
      <c r="G76" s="419">
        <v>0</v>
      </c>
      <c r="H76" s="419">
        <v>0</v>
      </c>
      <c r="I76" s="419">
        <v>0</v>
      </c>
      <c r="J76" s="419">
        <v>0</v>
      </c>
      <c r="K76" s="419">
        <v>0</v>
      </c>
      <c r="L76" s="409">
        <f t="shared" si="0"/>
        <v>100</v>
      </c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ht="12" customHeight="1">
      <c r="A77" s="785"/>
      <c r="B77" s="75">
        <v>85419</v>
      </c>
      <c r="C77" s="424" t="s">
        <v>182</v>
      </c>
      <c r="D77" s="431">
        <v>947017</v>
      </c>
      <c r="E77" s="427">
        <v>384752</v>
      </c>
      <c r="F77" s="419">
        <f t="shared" si="8"/>
        <v>384752</v>
      </c>
      <c r="G77" s="419">
        <v>0</v>
      </c>
      <c r="H77" s="419">
        <v>0</v>
      </c>
      <c r="I77" s="419">
        <f>F77</f>
        <v>384752</v>
      </c>
      <c r="J77" s="419">
        <v>0</v>
      </c>
      <c r="K77" s="419">
        <v>0</v>
      </c>
      <c r="L77" s="409">
        <f t="shared" si="0"/>
        <v>40.627781761045476</v>
      </c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>
      <c r="A78" s="785"/>
      <c r="B78" s="75">
        <v>85420</v>
      </c>
      <c r="C78" s="424" t="s">
        <v>136</v>
      </c>
      <c r="D78" s="431">
        <v>1062354</v>
      </c>
      <c r="E78" s="427">
        <v>572932.49</v>
      </c>
      <c r="F78" s="419">
        <f t="shared" si="8"/>
        <v>572932.49</v>
      </c>
      <c r="G78" s="427">
        <f>284662.26+42045.89</f>
        <v>326708.15000000002</v>
      </c>
      <c r="H78" s="419">
        <f>46686.45+6890.56</f>
        <v>53577.009999999995</v>
      </c>
      <c r="I78" s="419">
        <v>0</v>
      </c>
      <c r="J78" s="419">
        <v>0</v>
      </c>
      <c r="K78" s="419">
        <v>0</v>
      </c>
      <c r="L78" s="409">
        <f t="shared" si="0"/>
        <v>53.930468563209622</v>
      </c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ht="12" customHeight="1">
      <c r="A79" s="785"/>
      <c r="B79" s="75">
        <v>85446</v>
      </c>
      <c r="C79" s="424" t="s">
        <v>100</v>
      </c>
      <c r="D79" s="431">
        <v>10219</v>
      </c>
      <c r="E79" s="427">
        <v>724.3</v>
      </c>
      <c r="F79" s="419">
        <f t="shared" si="8"/>
        <v>724.3</v>
      </c>
      <c r="G79" s="419">
        <v>0</v>
      </c>
      <c r="H79" s="419">
        <v>0</v>
      </c>
      <c r="I79" s="419">
        <v>0</v>
      </c>
      <c r="J79" s="419">
        <v>0</v>
      </c>
      <c r="K79" s="419">
        <v>0</v>
      </c>
      <c r="L79" s="409">
        <f t="shared" si="0"/>
        <v>7.0877776690478509</v>
      </c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4" customFormat="1" ht="21" hidden="1">
      <c r="A80" s="411">
        <v>921</v>
      </c>
      <c r="B80" s="411"/>
      <c r="C80" s="421" t="s">
        <v>134</v>
      </c>
      <c r="D80" s="422">
        <f>D81+D82</f>
        <v>0</v>
      </c>
      <c r="E80" s="423"/>
      <c r="F80" s="423">
        <f>F81+F82</f>
        <v>0</v>
      </c>
      <c r="G80" s="419">
        <v>0</v>
      </c>
      <c r="H80" s="419">
        <v>0</v>
      </c>
      <c r="I80" s="419">
        <v>0</v>
      </c>
      <c r="J80" s="419">
        <v>0</v>
      </c>
      <c r="K80" s="419">
        <v>0</v>
      </c>
      <c r="L80" s="409" t="e">
        <f t="shared" si="0"/>
        <v>#DIV/0!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31" hidden="1">
      <c r="A81" s="785"/>
      <c r="B81" s="75">
        <v>92105</v>
      </c>
      <c r="C81" s="424" t="s">
        <v>135</v>
      </c>
      <c r="D81" s="418">
        <v>0</v>
      </c>
      <c r="E81" s="419"/>
      <c r="F81" s="419"/>
      <c r="G81" s="419">
        <v>0</v>
      </c>
      <c r="H81" s="419">
        <v>0</v>
      </c>
      <c r="I81" s="419">
        <v>0</v>
      </c>
      <c r="J81" s="419">
        <v>0</v>
      </c>
      <c r="K81" s="419">
        <v>0</v>
      </c>
      <c r="L81" s="409" t="e">
        <f t="shared" si="0"/>
        <v>#DIV/0!</v>
      </c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hidden="1">
      <c r="A82" s="785"/>
      <c r="B82" s="75">
        <v>92195</v>
      </c>
      <c r="C82" s="424" t="s">
        <v>89</v>
      </c>
      <c r="D82" s="418">
        <v>0</v>
      </c>
      <c r="E82" s="419"/>
      <c r="F82" s="419">
        <v>0</v>
      </c>
      <c r="G82" s="419">
        <v>0</v>
      </c>
      <c r="H82" s="419">
        <v>0</v>
      </c>
      <c r="I82" s="419">
        <v>0</v>
      </c>
      <c r="J82" s="419">
        <v>0</v>
      </c>
      <c r="K82" s="419">
        <v>0</v>
      </c>
      <c r="L82" s="409" t="e">
        <f t="shared" ref="L82:L91" si="9">E82/D82*100</f>
        <v>#DIV/0!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46" customFormat="1" ht="21">
      <c r="A83" s="411">
        <v>921</v>
      </c>
      <c r="B83" s="411"/>
      <c r="C83" s="421" t="s">
        <v>134</v>
      </c>
      <c r="D83" s="422">
        <f>D84+D85+D86</f>
        <v>180000</v>
      </c>
      <c r="E83" s="423">
        <f>E84</f>
        <v>0</v>
      </c>
      <c r="F83" s="419">
        <v>0</v>
      </c>
      <c r="G83" s="419">
        <v>0</v>
      </c>
      <c r="H83" s="419">
        <v>0</v>
      </c>
      <c r="I83" s="419">
        <v>0</v>
      </c>
      <c r="J83" s="419">
        <v>0</v>
      </c>
      <c r="K83" s="419">
        <v>0</v>
      </c>
      <c r="L83" s="409">
        <f t="shared" si="9"/>
        <v>0</v>
      </c>
      <c r="M83" s="45"/>
      <c r="N83" s="45"/>
      <c r="O83" s="45"/>
      <c r="P83" s="45"/>
      <c r="Q83" s="45"/>
      <c r="R83" s="45"/>
      <c r="S83" s="45"/>
      <c r="T83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</row>
    <row r="84" spans="1:31">
      <c r="A84" s="786"/>
      <c r="B84" s="75">
        <v>92105</v>
      </c>
      <c r="C84" s="424" t="s">
        <v>135</v>
      </c>
      <c r="D84" s="418">
        <v>60000</v>
      </c>
      <c r="E84" s="419">
        <v>0</v>
      </c>
      <c r="F84" s="419">
        <v>0</v>
      </c>
      <c r="G84" s="419">
        <v>0</v>
      </c>
      <c r="H84" s="419">
        <v>0</v>
      </c>
      <c r="I84" s="419">
        <v>0</v>
      </c>
      <c r="J84" s="419">
        <v>0</v>
      </c>
      <c r="K84" s="419">
        <v>0</v>
      </c>
      <c r="L84" s="409">
        <f t="shared" si="9"/>
        <v>0</v>
      </c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>
      <c r="A85" s="786"/>
      <c r="B85" s="75">
        <v>92116</v>
      </c>
      <c r="C85" s="424" t="s">
        <v>325</v>
      </c>
      <c r="D85" s="418">
        <v>50000</v>
      </c>
      <c r="E85" s="419">
        <v>0</v>
      </c>
      <c r="F85" s="419">
        <v>0</v>
      </c>
      <c r="G85" s="419">
        <v>0</v>
      </c>
      <c r="H85" s="419">
        <v>0</v>
      </c>
      <c r="I85" s="419">
        <v>0</v>
      </c>
      <c r="J85" s="419">
        <v>0</v>
      </c>
      <c r="K85" s="419">
        <v>0</v>
      </c>
      <c r="L85" s="409">
        <f t="shared" si="9"/>
        <v>0</v>
      </c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>
      <c r="A86" s="786"/>
      <c r="B86" s="75">
        <v>92195</v>
      </c>
      <c r="C86" s="424" t="s">
        <v>89</v>
      </c>
      <c r="D86" s="418">
        <v>70000</v>
      </c>
      <c r="E86" s="419">
        <v>0</v>
      </c>
      <c r="F86" s="419">
        <v>0</v>
      </c>
      <c r="G86" s="419">
        <v>0</v>
      </c>
      <c r="H86" s="419">
        <v>0</v>
      </c>
      <c r="I86" s="419">
        <v>0</v>
      </c>
      <c r="J86" s="419">
        <v>0</v>
      </c>
      <c r="K86" s="419">
        <v>0</v>
      </c>
      <c r="L86" s="409">
        <f t="shared" si="9"/>
        <v>0</v>
      </c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31" s="4" customFormat="1">
      <c r="A87" s="411">
        <v>926</v>
      </c>
      <c r="B87" s="411"/>
      <c r="C87" s="421" t="s">
        <v>114</v>
      </c>
      <c r="D87" s="422">
        <f>D89+D88+D90</f>
        <v>954175</v>
      </c>
      <c r="E87" s="423">
        <f t="shared" ref="E87:K87" si="10">E89+E88</f>
        <v>314501.96999999997</v>
      </c>
      <c r="F87" s="423">
        <f t="shared" si="10"/>
        <v>19000</v>
      </c>
      <c r="G87" s="419">
        <v>0</v>
      </c>
      <c r="H87" s="419">
        <v>0</v>
      </c>
      <c r="I87" s="423">
        <f t="shared" si="10"/>
        <v>19000</v>
      </c>
      <c r="J87" s="419">
        <v>0</v>
      </c>
      <c r="K87" s="423">
        <f t="shared" si="10"/>
        <v>295501.96999999997</v>
      </c>
      <c r="L87" s="409">
        <f t="shared" si="9"/>
        <v>32.960617287185265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5" customFormat="1">
      <c r="A88" s="785"/>
      <c r="B88" s="75">
        <v>92601</v>
      </c>
      <c r="C88" s="424" t="s">
        <v>183</v>
      </c>
      <c r="D88" s="418">
        <v>874175</v>
      </c>
      <c r="E88" s="419">
        <v>295501.96999999997</v>
      </c>
      <c r="F88" s="419">
        <v>0</v>
      </c>
      <c r="G88" s="419">
        <v>0</v>
      </c>
      <c r="H88" s="419">
        <v>0</v>
      </c>
      <c r="I88" s="419">
        <v>0</v>
      </c>
      <c r="J88" s="419">
        <v>0</v>
      </c>
      <c r="K88" s="419">
        <f>E88</f>
        <v>295501.96999999997</v>
      </c>
      <c r="L88" s="409">
        <f t="shared" si="9"/>
        <v>33.803525609860721</v>
      </c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ht="24.75" customHeight="1">
      <c r="A89" s="785"/>
      <c r="B89" s="75">
        <v>92605</v>
      </c>
      <c r="C89" s="424" t="s">
        <v>115</v>
      </c>
      <c r="D89" s="418">
        <v>40000</v>
      </c>
      <c r="E89" s="419">
        <v>19000</v>
      </c>
      <c r="F89" s="419">
        <f>E89</f>
        <v>19000</v>
      </c>
      <c r="G89" s="419">
        <v>0</v>
      </c>
      <c r="H89" s="419">
        <v>0</v>
      </c>
      <c r="I89" s="419">
        <v>19000</v>
      </c>
      <c r="J89" s="419">
        <v>0</v>
      </c>
      <c r="K89" s="419">
        <v>0</v>
      </c>
      <c r="L89" s="409">
        <f t="shared" si="9"/>
        <v>47.5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ht="15" customHeight="1">
      <c r="A90" s="785"/>
      <c r="B90" s="75">
        <v>92695</v>
      </c>
      <c r="C90" s="424" t="s">
        <v>89</v>
      </c>
      <c r="D90" s="418">
        <v>40000</v>
      </c>
      <c r="E90" s="419">
        <v>0</v>
      </c>
      <c r="F90" s="419">
        <v>0</v>
      </c>
      <c r="G90" s="419">
        <v>0</v>
      </c>
      <c r="H90" s="419">
        <v>0</v>
      </c>
      <c r="I90" s="419">
        <v>0</v>
      </c>
      <c r="J90" s="419">
        <v>0</v>
      </c>
      <c r="K90" s="419">
        <v>0</v>
      </c>
      <c r="L90" s="409">
        <f t="shared" si="9"/>
        <v>0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74" customFormat="1" ht="12">
      <c r="A91" s="777" t="s">
        <v>41</v>
      </c>
      <c r="B91" s="777"/>
      <c r="C91" s="777"/>
      <c r="D91" s="422">
        <f>D13+D16+D19+D21+D23+D25+D30+D37+D43+D45+D54+D58+D66+D72+D83+D87</f>
        <v>41145305</v>
      </c>
      <c r="E91" s="437">
        <f t="shared" ref="E91:K91" si="11">E13+E16+E19+E21+E23+E25+E30+E37+E43+E45+E54+E58+E66+E72+E83+E87</f>
        <v>19687966.059999999</v>
      </c>
      <c r="F91" s="437">
        <f t="shared" si="11"/>
        <v>19304714.02</v>
      </c>
      <c r="G91" s="437">
        <f t="shared" si="11"/>
        <v>8891153.4000000004</v>
      </c>
      <c r="H91" s="437">
        <f t="shared" si="11"/>
        <v>1286265.1500000001</v>
      </c>
      <c r="I91" s="437">
        <f t="shared" si="11"/>
        <v>3050166.31</v>
      </c>
      <c r="J91" s="437">
        <f t="shared" si="11"/>
        <v>202689.35</v>
      </c>
      <c r="K91" s="437">
        <f t="shared" si="11"/>
        <v>383252.04</v>
      </c>
      <c r="L91" s="409">
        <f t="shared" si="9"/>
        <v>47.849848384888624</v>
      </c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</row>
    <row r="92" spans="1:3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31">
      <c r="A93" s="1"/>
      <c r="B93" s="1"/>
      <c r="C93" s="1"/>
      <c r="D93" s="1"/>
      <c r="E93" s="1"/>
      <c r="F93" s="70"/>
      <c r="G93" s="1"/>
      <c r="H93" s="1"/>
      <c r="I93" s="1"/>
      <c r="J93" s="1"/>
      <c r="K93" s="1"/>
    </row>
    <row r="94" spans="1:31">
      <c r="F94" s="44"/>
    </row>
  </sheetData>
  <mergeCells count="27">
    <mergeCell ref="I1:L1"/>
    <mergeCell ref="A73:A79"/>
    <mergeCell ref="A81:A82"/>
    <mergeCell ref="F9:K9"/>
    <mergeCell ref="K10:K11"/>
    <mergeCell ref="F10:F11"/>
    <mergeCell ref="A67:A71"/>
    <mergeCell ref="A59:A65"/>
    <mergeCell ref="A31:A36"/>
    <mergeCell ref="A26:A28"/>
    <mergeCell ref="A17:A18"/>
    <mergeCell ref="A14:A15"/>
    <mergeCell ref="A91:C91"/>
    <mergeCell ref="A3:L3"/>
    <mergeCell ref="A4:L4"/>
    <mergeCell ref="A5:L5"/>
    <mergeCell ref="A6:L6"/>
    <mergeCell ref="L9:L11"/>
    <mergeCell ref="A9:A11"/>
    <mergeCell ref="B9:B11"/>
    <mergeCell ref="C9:C11"/>
    <mergeCell ref="D9:D11"/>
    <mergeCell ref="A88:A90"/>
    <mergeCell ref="A84:A86"/>
    <mergeCell ref="A55:A57"/>
    <mergeCell ref="A46:A53"/>
    <mergeCell ref="A38:A42"/>
  </mergeCells>
  <phoneticPr fontId="0" type="noConversion"/>
  <pageMargins left="0.78740157480314965" right="0.19685039370078741" top="0.78740157480314965" bottom="0.78740157480314965" header="0.51181102362204722" footer="0.51181102362204722"/>
  <pageSetup paperSize="9" scale="95" orientation="landscape" r:id="rId1"/>
  <headerFooter alignWithMargins="0">
    <oddFooter>&amp;C&amp;"Times New (W1),Normalny"Załącznik Nr 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X125"/>
  <sheetViews>
    <sheetView view="pageLayout" workbookViewId="0">
      <selection activeCell="K13" sqref="K13"/>
    </sheetView>
  </sheetViews>
  <sheetFormatPr defaultRowHeight="12.75"/>
  <cols>
    <col min="1" max="1" width="4" bestFit="1" customWidth="1"/>
    <col min="2" max="2" width="6" hidden="1" customWidth="1"/>
    <col min="3" max="3" width="6.140625" hidden="1" customWidth="1"/>
    <col min="4" max="4" width="25.28515625" customWidth="1"/>
    <col min="5" max="5" width="13.5703125" customWidth="1"/>
    <col min="6" max="6" width="12.7109375" hidden="1" customWidth="1"/>
    <col min="7" max="10" width="12.7109375" customWidth="1"/>
    <col min="11" max="11" width="40.7109375" customWidth="1"/>
    <col min="12" max="12" width="0.85546875" hidden="1" customWidth="1"/>
  </cols>
  <sheetData>
    <row r="1" spans="1:24" ht="15.75" customHeight="1">
      <c r="D1" t="s">
        <v>154</v>
      </c>
      <c r="E1" t="s">
        <v>144</v>
      </c>
    </row>
    <row r="2" spans="1:24" s="3" customFormat="1">
      <c r="A2" s="190" t="s">
        <v>28</v>
      </c>
      <c r="B2" s="27"/>
      <c r="C2" s="13" t="s">
        <v>42</v>
      </c>
      <c r="D2" s="14">
        <v>88100</v>
      </c>
      <c r="E2" s="28">
        <v>8590.7800000000007</v>
      </c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1:24" hidden="1">
      <c r="A3" s="191" t="s">
        <v>27</v>
      </c>
      <c r="B3" s="18" t="s">
        <v>63</v>
      </c>
      <c r="C3" s="15" t="s">
        <v>79</v>
      </c>
      <c r="D3" s="8">
        <v>92000</v>
      </c>
      <c r="E3" s="8">
        <v>2213</v>
      </c>
      <c r="F3" s="8">
        <v>0</v>
      </c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24" hidden="1">
      <c r="A4" s="191"/>
      <c r="B4" s="18" t="s">
        <v>137</v>
      </c>
      <c r="C4" s="36" t="s">
        <v>138</v>
      </c>
      <c r="D4" s="8">
        <v>104</v>
      </c>
      <c r="E4" s="8">
        <v>104</v>
      </c>
      <c r="F4" s="8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s="4" customFormat="1" ht="24">
      <c r="A5" s="190" t="s">
        <v>29</v>
      </c>
      <c r="B5" s="189"/>
      <c r="C5" s="16" t="s">
        <v>43</v>
      </c>
      <c r="D5" s="17">
        <v>269000</v>
      </c>
      <c r="E5" s="17">
        <v>118946.35</v>
      </c>
      <c r="F5" s="17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</row>
    <row r="6" spans="1:24" ht="48" hidden="1">
      <c r="A6" s="191"/>
      <c r="B6" s="18" t="s">
        <v>81</v>
      </c>
      <c r="C6" s="7" t="s">
        <v>82</v>
      </c>
      <c r="D6" s="8">
        <v>224829</v>
      </c>
      <c r="E6" s="8">
        <v>116347</v>
      </c>
      <c r="F6" s="8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idden="1">
      <c r="A7" s="191"/>
      <c r="B7" s="18" t="s">
        <v>118</v>
      </c>
      <c r="C7" s="15" t="s">
        <v>119</v>
      </c>
      <c r="D7" s="8">
        <v>8200</v>
      </c>
      <c r="E7" s="8">
        <v>0</v>
      </c>
      <c r="F7" s="8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>
      <c r="A8" s="191">
        <v>150</v>
      </c>
      <c r="B8" s="18"/>
      <c r="C8" s="15"/>
      <c r="D8" s="8">
        <v>91012</v>
      </c>
      <c r="E8" s="188">
        <v>36164.21</v>
      </c>
      <c r="F8" s="8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s="4" customFormat="1">
      <c r="A9" s="192">
        <v>600</v>
      </c>
      <c r="B9" s="189"/>
      <c r="C9" s="19" t="s">
        <v>84</v>
      </c>
      <c r="D9" s="17">
        <v>1919966</v>
      </c>
      <c r="E9" s="32">
        <v>723689.33</v>
      </c>
      <c r="F9" s="17">
        <f>F10</f>
        <v>262320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</row>
    <row r="10" spans="1:24" hidden="1">
      <c r="A10" s="191"/>
      <c r="B10" s="18">
        <v>60014</v>
      </c>
      <c r="C10" s="15" t="s">
        <v>54</v>
      </c>
      <c r="D10" s="8">
        <v>1203064</v>
      </c>
      <c r="E10" s="8">
        <f>484309</f>
        <v>484309</v>
      </c>
      <c r="F10" s="8">
        <f>187452+34873+33469+5726+800</f>
        <v>262320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s="4" customFormat="1">
      <c r="A11" s="192">
        <v>700</v>
      </c>
      <c r="B11" s="189"/>
      <c r="C11" s="19" t="s">
        <v>44</v>
      </c>
      <c r="D11" s="17">
        <v>425100</v>
      </c>
      <c r="E11" s="17">
        <v>331882.73</v>
      </c>
      <c r="F11" s="17">
        <f>F12</f>
        <v>244</v>
      </c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</row>
    <row r="12" spans="1:24" hidden="1">
      <c r="A12" s="191" t="s">
        <v>27</v>
      </c>
      <c r="B12" s="20">
        <v>70005</v>
      </c>
      <c r="C12" s="15" t="s">
        <v>85</v>
      </c>
      <c r="D12" s="8">
        <v>205200</v>
      </c>
      <c r="E12" s="8">
        <v>144908</v>
      </c>
      <c r="F12" s="8">
        <v>244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24" s="4" customFormat="1" ht="18" customHeight="1">
      <c r="A13" s="192">
        <v>710</v>
      </c>
      <c r="B13" s="27"/>
      <c r="C13" s="19" t="s">
        <v>120</v>
      </c>
      <c r="D13" s="17">
        <v>341600</v>
      </c>
      <c r="E13" s="17">
        <v>115584.77</v>
      </c>
      <c r="F13" s="17">
        <f>F14+F15+F16</f>
        <v>53079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</row>
    <row r="14" spans="1:24" hidden="1">
      <c r="A14" s="191"/>
      <c r="B14" s="20">
        <v>71013</v>
      </c>
      <c r="C14" s="15" t="s">
        <v>121</v>
      </c>
      <c r="D14" s="8">
        <v>50000</v>
      </c>
      <c r="E14" s="8">
        <v>0</v>
      </c>
      <c r="F14" s="8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</row>
    <row r="15" spans="1:24" ht="12.75" hidden="1" customHeight="1">
      <c r="A15" s="191"/>
      <c r="B15" s="20">
        <v>71014</v>
      </c>
      <c r="C15" s="7" t="s">
        <v>87</v>
      </c>
      <c r="D15" s="8">
        <v>20000</v>
      </c>
      <c r="E15" s="8">
        <v>0</v>
      </c>
      <c r="F15" s="8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</row>
    <row r="16" spans="1:24" ht="13.5" hidden="1" customHeight="1">
      <c r="A16" s="191" t="s">
        <v>27</v>
      </c>
      <c r="B16" s="20">
        <v>71015</v>
      </c>
      <c r="C16" s="7" t="s">
        <v>88</v>
      </c>
      <c r="D16" s="8">
        <v>121900</v>
      </c>
      <c r="E16" s="8">
        <v>57990</v>
      </c>
      <c r="F16" s="8">
        <f>26643+11345+6066+7954+1071</f>
        <v>53079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</row>
    <row r="17" spans="1:24" ht="13.5" hidden="1" customHeight="1">
      <c r="A17" s="191">
        <v>0</v>
      </c>
      <c r="B17" s="20">
        <v>71095</v>
      </c>
      <c r="C17" s="7" t="s">
        <v>89</v>
      </c>
      <c r="D17" s="8">
        <v>0</v>
      </c>
      <c r="E17" s="8">
        <v>0</v>
      </c>
      <c r="F17" s="8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s="4" customFormat="1" ht="60" hidden="1">
      <c r="A18" s="192">
        <v>750</v>
      </c>
      <c r="B18" s="27"/>
      <c r="C18" s="16" t="s">
        <v>46</v>
      </c>
      <c r="D18" s="17">
        <v>3770270</v>
      </c>
      <c r="E18" s="17">
        <v>1940122</v>
      </c>
      <c r="F18" s="17">
        <f>F19+F22+F20+F21+F23</f>
        <v>1088502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</row>
    <row r="19" spans="1:24" ht="48" hidden="1">
      <c r="A19" s="191" t="s">
        <v>27</v>
      </c>
      <c r="B19" s="20">
        <v>75011</v>
      </c>
      <c r="C19" s="7" t="s">
        <v>91</v>
      </c>
      <c r="D19" s="8">
        <v>98000</v>
      </c>
      <c r="E19" s="8">
        <v>48996</v>
      </c>
      <c r="F19" s="8">
        <v>48996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 ht="36" hidden="1">
      <c r="A20" s="191"/>
      <c r="B20" s="20">
        <v>75019</v>
      </c>
      <c r="C20" s="7" t="s">
        <v>122</v>
      </c>
      <c r="D20" s="8">
        <v>172200</v>
      </c>
      <c r="E20" s="8">
        <v>76455</v>
      </c>
      <c r="F20" s="8">
        <v>0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 ht="48" hidden="1">
      <c r="A21" s="191"/>
      <c r="B21" s="20">
        <v>75020</v>
      </c>
      <c r="C21" s="7" t="s">
        <v>92</v>
      </c>
      <c r="D21" s="8">
        <v>2843856</v>
      </c>
      <c r="E21" s="8">
        <v>1524850</v>
      </c>
      <c r="F21" s="21">
        <f>734578+122354+126401+19171+28767</f>
        <v>1031271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 ht="48" hidden="1">
      <c r="A22" s="191"/>
      <c r="B22" s="20">
        <v>75045</v>
      </c>
      <c r="C22" s="7" t="s">
        <v>93</v>
      </c>
      <c r="D22" s="8">
        <v>16162</v>
      </c>
      <c r="E22" s="8">
        <v>15620</v>
      </c>
      <c r="F22" s="21">
        <f>276+39+7920</f>
        <v>8235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</row>
    <row r="23" spans="1:24" ht="48" hidden="1">
      <c r="A23" s="191"/>
      <c r="B23" s="20">
        <v>75095</v>
      </c>
      <c r="C23" s="7" t="s">
        <v>89</v>
      </c>
      <c r="D23" s="8">
        <v>152377</v>
      </c>
      <c r="E23" s="8">
        <v>105202</v>
      </c>
      <c r="F23" s="8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</row>
    <row r="24" spans="1:24" s="4" customFormat="1" ht="48" hidden="1">
      <c r="A24" s="192">
        <v>752</v>
      </c>
      <c r="B24" s="27"/>
      <c r="C24" s="16" t="s">
        <v>65</v>
      </c>
      <c r="D24" s="17">
        <v>300</v>
      </c>
      <c r="E24" s="17">
        <v>299</v>
      </c>
      <c r="F24" s="17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</row>
    <row r="25" spans="1:24" ht="72" hidden="1">
      <c r="A25" s="191"/>
      <c r="B25" s="20">
        <v>75212</v>
      </c>
      <c r="C25" s="7" t="s">
        <v>66</v>
      </c>
      <c r="D25" s="8">
        <v>1000</v>
      </c>
      <c r="E25" s="8">
        <v>0</v>
      </c>
      <c r="F25" s="8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4" s="4" customFormat="1" ht="84" hidden="1">
      <c r="A26" s="192">
        <v>754</v>
      </c>
      <c r="B26" s="27"/>
      <c r="C26" s="16" t="s">
        <v>123</v>
      </c>
      <c r="D26" s="17">
        <v>2201200</v>
      </c>
      <c r="E26" s="17">
        <v>1130720</v>
      </c>
      <c r="F26" s="17">
        <f>F28+F29</f>
        <v>751230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</row>
    <row r="27" spans="1:24" s="5" customFormat="1" ht="17.25" hidden="1" customHeight="1">
      <c r="A27" s="191"/>
      <c r="B27" s="20">
        <v>75404</v>
      </c>
      <c r="C27" s="7" t="s">
        <v>124</v>
      </c>
      <c r="D27" s="8">
        <v>30000</v>
      </c>
      <c r="E27" s="8">
        <v>30000</v>
      </c>
      <c r="F27" s="8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</row>
    <row r="28" spans="1:24" ht="108" hidden="1">
      <c r="A28" s="191"/>
      <c r="B28" s="20">
        <v>75411</v>
      </c>
      <c r="C28" s="7" t="s">
        <v>125</v>
      </c>
      <c r="D28" s="8">
        <v>2090222</v>
      </c>
      <c r="E28" s="8">
        <v>1063335</v>
      </c>
      <c r="F28" s="8">
        <f>6532+639846+116+103411+1168+157</f>
        <v>751230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</row>
    <row r="29" spans="1:24" ht="48" hidden="1">
      <c r="A29" s="191"/>
      <c r="B29" s="20">
        <v>75414</v>
      </c>
      <c r="C29" s="7" t="s">
        <v>94</v>
      </c>
      <c r="D29" s="8">
        <v>0</v>
      </c>
      <c r="E29" s="8">
        <v>0</v>
      </c>
      <c r="F29" s="8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</row>
    <row r="30" spans="1:24" s="4" customFormat="1" ht="60" hidden="1">
      <c r="A30" s="192">
        <v>757</v>
      </c>
      <c r="B30" s="27"/>
      <c r="C30" s="16" t="s">
        <v>126</v>
      </c>
      <c r="D30" s="17">
        <v>440685</v>
      </c>
      <c r="E30" s="17">
        <v>249247</v>
      </c>
      <c r="F30" s="17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</row>
    <row r="31" spans="1:24" ht="23.25" hidden="1" customHeight="1">
      <c r="A31" s="191"/>
      <c r="B31" s="20">
        <v>75702</v>
      </c>
      <c r="C31" s="7" t="s">
        <v>127</v>
      </c>
      <c r="D31" s="8">
        <v>525430</v>
      </c>
      <c r="E31" s="8">
        <v>380834</v>
      </c>
      <c r="F31" s="8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spans="1:24" ht="23.25" customHeight="1">
      <c r="A32" s="191">
        <v>750</v>
      </c>
      <c r="B32" s="20"/>
      <c r="C32" s="7"/>
      <c r="D32" s="8">
        <v>5218153</v>
      </c>
      <c r="E32" s="8">
        <v>2401247.87</v>
      </c>
      <c r="F32" s="8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</row>
    <row r="33" spans="1:24" ht="23.25" customHeight="1">
      <c r="A33" s="191">
        <v>754</v>
      </c>
      <c r="B33" s="20"/>
      <c r="C33" s="7"/>
      <c r="D33" s="8">
        <v>2866523</v>
      </c>
      <c r="E33" s="8">
        <v>1461291.87</v>
      </c>
      <c r="F33" s="8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</row>
    <row r="34" spans="1:24" ht="23.25" customHeight="1">
      <c r="A34" s="191">
        <v>757</v>
      </c>
      <c r="B34" s="20"/>
      <c r="C34" s="7"/>
      <c r="D34" s="8">
        <v>343158</v>
      </c>
      <c r="E34" s="8">
        <v>202689.35</v>
      </c>
      <c r="F34" s="8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</row>
    <row r="35" spans="1:24" s="4" customFormat="1" ht="60">
      <c r="A35" s="192">
        <v>801</v>
      </c>
      <c r="B35" s="27"/>
      <c r="C35" s="16" t="s">
        <v>69</v>
      </c>
      <c r="D35" s="17">
        <v>11215146</v>
      </c>
      <c r="E35" s="17">
        <v>5896907.1799999997</v>
      </c>
      <c r="F35" s="17">
        <f>SUM(F36:F43)</f>
        <v>3689871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</row>
    <row r="36" spans="1:24" ht="72" hidden="1">
      <c r="A36" s="191"/>
      <c r="B36" s="20">
        <v>80102</v>
      </c>
      <c r="C36" s="7" t="s">
        <v>56</v>
      </c>
      <c r="D36" s="8">
        <v>505078</v>
      </c>
      <c r="E36" s="8">
        <v>331232</v>
      </c>
      <c r="F36" s="21">
        <f>196206+26135+37238+5208+450</f>
        <v>265237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</row>
    <row r="37" spans="1:24" ht="48" hidden="1">
      <c r="A37" s="191"/>
      <c r="B37" s="20">
        <v>80111</v>
      </c>
      <c r="C37" s="7" t="s">
        <v>128</v>
      </c>
      <c r="D37" s="8">
        <v>475749</v>
      </c>
      <c r="E37" s="8">
        <v>298949</v>
      </c>
      <c r="F37" s="21">
        <f>E37-16937</f>
        <v>282012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</row>
    <row r="38" spans="1:24" ht="48" hidden="1">
      <c r="A38" s="191"/>
      <c r="B38" s="20">
        <v>80120</v>
      </c>
      <c r="C38" s="7" t="s">
        <v>62</v>
      </c>
      <c r="D38" s="8">
        <v>6261477</v>
      </c>
      <c r="E38" s="8">
        <f>1416382</f>
        <v>1416382</v>
      </c>
      <c r="F38" s="8">
        <f>719401+108702+140170+19592+5607</f>
        <v>993472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</row>
    <row r="39" spans="1:24" ht="36" hidden="1">
      <c r="A39" s="191"/>
      <c r="B39" s="20">
        <v>80123</v>
      </c>
      <c r="C39" s="7" t="s">
        <v>57</v>
      </c>
      <c r="D39" s="21">
        <v>1774906</v>
      </c>
      <c r="E39" s="21">
        <v>1075369</v>
      </c>
      <c r="F39" s="21">
        <f>584273+89310+117937+15966</f>
        <v>807486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</row>
    <row r="40" spans="1:24" ht="36" hidden="1">
      <c r="A40" s="191"/>
      <c r="B40" s="20">
        <v>80130</v>
      </c>
      <c r="C40" s="7" t="s">
        <v>58</v>
      </c>
      <c r="D40" s="21">
        <v>3313174</v>
      </c>
      <c r="E40" s="21">
        <v>2096781</v>
      </c>
      <c r="F40" s="21">
        <f>916626+140181+184575+25295+11296</f>
        <v>1277973</v>
      </c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</row>
    <row r="41" spans="1:24" ht="60" hidden="1">
      <c r="A41" s="191"/>
      <c r="B41" s="20">
        <v>80134</v>
      </c>
      <c r="C41" s="7" t="s">
        <v>129</v>
      </c>
      <c r="D41" s="8">
        <v>136812</v>
      </c>
      <c r="E41" s="8">
        <v>72783</v>
      </c>
      <c r="F41" s="8">
        <f>47352+5517+9525+1297</f>
        <v>63691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</row>
    <row r="42" spans="1:24" ht="12.75" hidden="1" customHeight="1">
      <c r="A42" s="191"/>
      <c r="B42" s="20">
        <v>80146</v>
      </c>
      <c r="C42" s="7" t="s">
        <v>100</v>
      </c>
      <c r="D42" s="8">
        <f>54969-11722</f>
        <v>43247</v>
      </c>
      <c r="E42" s="8">
        <v>0</v>
      </c>
      <c r="F42" s="8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</row>
    <row r="43" spans="1:24" ht="48" hidden="1">
      <c r="A43" s="191"/>
      <c r="B43" s="20">
        <v>80195</v>
      </c>
      <c r="C43" s="7" t="s">
        <v>89</v>
      </c>
      <c r="D43" s="8">
        <v>64531</v>
      </c>
      <c r="E43" s="8">
        <v>48400</v>
      </c>
      <c r="F43" s="8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</row>
    <row r="44" spans="1:24" ht="84" hidden="1">
      <c r="A44" s="191"/>
      <c r="B44" s="20">
        <v>80309</v>
      </c>
      <c r="C44" s="7" t="s">
        <v>139</v>
      </c>
      <c r="D44" s="8">
        <v>49764</v>
      </c>
      <c r="E44" s="8">
        <v>20016</v>
      </c>
      <c r="F44" s="8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</row>
    <row r="45" spans="1:24" s="4" customFormat="1" ht="13.5" customHeight="1">
      <c r="A45" s="192">
        <v>851</v>
      </c>
      <c r="B45" s="27"/>
      <c r="C45" s="22" t="s">
        <v>49</v>
      </c>
      <c r="D45" s="17">
        <v>2545500</v>
      </c>
      <c r="E45" s="17">
        <v>982282.7</v>
      </c>
      <c r="F45" s="17">
        <f>F48+F46+F47</f>
        <v>959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</row>
    <row r="46" spans="1:24" s="5" customFormat="1" ht="12" hidden="1" customHeight="1">
      <c r="A46" s="191"/>
      <c r="B46" s="20">
        <v>85111</v>
      </c>
      <c r="C46" s="9" t="s">
        <v>101</v>
      </c>
      <c r="D46" s="8">
        <v>344145</v>
      </c>
      <c r="E46" s="8">
        <v>44135</v>
      </c>
      <c r="F46" s="8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</row>
    <row r="47" spans="1:24" s="5" customFormat="1" ht="12.75" hidden="1" customHeight="1">
      <c r="A47" s="191"/>
      <c r="B47" s="20">
        <v>85154</v>
      </c>
      <c r="C47" s="9" t="s">
        <v>102</v>
      </c>
      <c r="D47" s="8">
        <v>26380</v>
      </c>
      <c r="E47" s="8">
        <v>5206</v>
      </c>
      <c r="F47" s="8">
        <v>959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</row>
    <row r="48" spans="1:24" hidden="1">
      <c r="A48" s="191"/>
      <c r="B48" s="20">
        <v>85156</v>
      </c>
      <c r="C48" s="11" t="s">
        <v>103</v>
      </c>
      <c r="D48" s="8">
        <v>1168000</v>
      </c>
      <c r="E48" s="8">
        <v>433496</v>
      </c>
      <c r="F48" s="8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</row>
    <row r="49" spans="1:24" ht="48" hidden="1">
      <c r="A49" s="191"/>
      <c r="B49" s="20">
        <v>85195</v>
      </c>
      <c r="C49" s="7" t="s">
        <v>89</v>
      </c>
      <c r="D49" s="8">
        <v>2000</v>
      </c>
      <c r="E49" s="8">
        <v>0</v>
      </c>
      <c r="F49" s="8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</row>
    <row r="50" spans="1:24" s="4" customFormat="1" ht="48">
      <c r="A50" s="192">
        <v>852</v>
      </c>
      <c r="B50" s="27"/>
      <c r="C50" s="16" t="s">
        <v>50</v>
      </c>
      <c r="D50" s="17">
        <v>8320768</v>
      </c>
      <c r="E50" s="17">
        <v>3761286.85</v>
      </c>
      <c r="F50" s="17">
        <f>F53+F56+F51+F52+F54+F57</f>
        <v>684308</v>
      </c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</row>
    <row r="51" spans="1:24" s="5" customFormat="1" ht="12.75" hidden="1" customHeight="1">
      <c r="A51" s="191"/>
      <c r="B51" s="20">
        <v>85201</v>
      </c>
      <c r="C51" s="7" t="s">
        <v>104</v>
      </c>
      <c r="D51" s="8">
        <v>1748865</v>
      </c>
      <c r="E51" s="8">
        <v>862369</v>
      </c>
      <c r="F51" s="8">
        <f>343035+60335+70550+10165+19956</f>
        <v>504041</v>
      </c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</row>
    <row r="52" spans="1:24" s="5" customFormat="1" ht="60" hidden="1">
      <c r="A52" s="191"/>
      <c r="B52" s="20">
        <v>85202</v>
      </c>
      <c r="C52" s="7" t="s">
        <v>105</v>
      </c>
      <c r="D52" s="8">
        <v>2496156</v>
      </c>
      <c r="E52" s="8">
        <v>1300359</v>
      </c>
      <c r="F52" s="8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</row>
    <row r="53" spans="1:24" ht="48" hidden="1">
      <c r="A53" s="191"/>
      <c r="B53" s="20">
        <v>85203</v>
      </c>
      <c r="C53" s="7" t="s">
        <v>106</v>
      </c>
      <c r="D53" s="8">
        <v>243003</v>
      </c>
      <c r="E53" s="21">
        <v>114960</v>
      </c>
      <c r="F53" s="21">
        <f>61257+5173+12453+1920+6180</f>
        <v>86983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</row>
    <row r="54" spans="1:24" ht="48" hidden="1">
      <c r="A54" s="191"/>
      <c r="B54" s="20">
        <v>85204</v>
      </c>
      <c r="C54" s="7" t="s">
        <v>130</v>
      </c>
      <c r="D54" s="8">
        <v>1245313</v>
      </c>
      <c r="E54" s="8">
        <v>596254</v>
      </c>
      <c r="F54" s="21">
        <f>2012+278+12897</f>
        <v>15187</v>
      </c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</row>
    <row r="55" spans="1:24" ht="37.5" hidden="1" customHeight="1">
      <c r="A55" s="191"/>
      <c r="B55" s="20">
        <v>85212</v>
      </c>
      <c r="C55" s="7" t="s">
        <v>131</v>
      </c>
      <c r="D55" s="8">
        <v>12784</v>
      </c>
      <c r="E55" s="8">
        <v>6000</v>
      </c>
      <c r="F55" s="21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</row>
    <row r="56" spans="1:24" ht="12.75" hidden="1" customHeight="1">
      <c r="A56" s="191"/>
      <c r="B56" s="20">
        <v>85216</v>
      </c>
      <c r="C56" s="7" t="s">
        <v>107</v>
      </c>
      <c r="D56" s="8">
        <v>0</v>
      </c>
      <c r="E56" s="8">
        <v>0</v>
      </c>
      <c r="F56" s="8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</row>
    <row r="57" spans="1:24" ht="12.75" hidden="1" customHeight="1">
      <c r="A57" s="191"/>
      <c r="B57" s="20">
        <v>85218</v>
      </c>
      <c r="C57" s="7" t="s">
        <v>108</v>
      </c>
      <c r="D57" s="8">
        <v>273622</v>
      </c>
      <c r="E57" s="8">
        <v>125136</v>
      </c>
      <c r="F57" s="21">
        <f>53563+10904+10074+2006+1550</f>
        <v>78097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</row>
    <row r="58" spans="1:24" ht="12.75" hidden="1" customHeight="1">
      <c r="A58" s="191"/>
      <c r="B58" s="20">
        <v>85233</v>
      </c>
      <c r="C58" s="7" t="s">
        <v>100</v>
      </c>
      <c r="D58" s="8">
        <v>4015</v>
      </c>
      <c r="E58" s="8">
        <v>0</v>
      </c>
      <c r="F58" s="21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</row>
    <row r="59" spans="1:24" ht="12.75" hidden="1" customHeight="1">
      <c r="A59" s="191"/>
      <c r="B59" s="20">
        <v>85295</v>
      </c>
      <c r="C59" s="7" t="s">
        <v>89</v>
      </c>
      <c r="D59" s="8">
        <v>7000</v>
      </c>
      <c r="E59" s="8">
        <v>7000</v>
      </c>
      <c r="F59" s="21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</row>
    <row r="60" spans="1:24" s="4" customFormat="1" ht="108">
      <c r="A60" s="192">
        <v>853</v>
      </c>
      <c r="B60" s="27"/>
      <c r="C60" s="16" t="s">
        <v>132</v>
      </c>
      <c r="D60" s="17">
        <v>2719128</v>
      </c>
      <c r="E60" s="17">
        <v>1453229</v>
      </c>
      <c r="F60" s="17">
        <f>F61+F62</f>
        <v>419015</v>
      </c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</row>
    <row r="61" spans="1:24" ht="12" hidden="1" customHeight="1">
      <c r="A61" s="792"/>
      <c r="B61" s="20">
        <v>85321</v>
      </c>
      <c r="C61" s="7" t="s">
        <v>133</v>
      </c>
      <c r="D61" s="8">
        <v>71000</v>
      </c>
      <c r="E61" s="8">
        <v>32763</v>
      </c>
      <c r="F61" s="8">
        <f>12229+2910+2329+424+2484</f>
        <v>20376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</row>
    <row r="62" spans="1:24" ht="14.25" hidden="1" customHeight="1">
      <c r="A62" s="792"/>
      <c r="B62" s="20">
        <v>85333</v>
      </c>
      <c r="C62" s="23" t="s">
        <v>110</v>
      </c>
      <c r="D62" s="8">
        <v>873528</v>
      </c>
      <c r="E62" s="8">
        <v>451979</v>
      </c>
      <c r="F62" s="8">
        <f>280495+55514+50402+7070+5158</f>
        <v>398639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</row>
    <row r="63" spans="1:24" ht="14.25" hidden="1" customHeight="1">
      <c r="A63" s="792"/>
      <c r="B63" s="20">
        <v>85334</v>
      </c>
      <c r="C63" s="9" t="s">
        <v>142</v>
      </c>
      <c r="D63" s="8">
        <v>55903</v>
      </c>
      <c r="E63" s="8">
        <v>55903</v>
      </c>
      <c r="F63" s="8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</row>
    <row r="64" spans="1:24" s="4" customFormat="1" ht="12.75" customHeight="1">
      <c r="A64" s="193">
        <v>854</v>
      </c>
      <c r="B64" s="27" t="s">
        <v>27</v>
      </c>
      <c r="C64" s="24" t="s">
        <v>111</v>
      </c>
      <c r="D64" s="17">
        <v>3647976</v>
      </c>
      <c r="E64" s="17">
        <v>1844682.4</v>
      </c>
      <c r="F64" s="17">
        <f>SUM(F65:F72)</f>
        <v>901223</v>
      </c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</row>
    <row r="65" spans="1:24" ht="96" hidden="1">
      <c r="A65" s="792"/>
      <c r="B65" s="20">
        <v>85406</v>
      </c>
      <c r="C65" s="23" t="s">
        <v>59</v>
      </c>
      <c r="D65" s="8">
        <v>465439</v>
      </c>
      <c r="E65" s="8">
        <v>284568</v>
      </c>
      <c r="F65" s="21">
        <f>170636+27331+34466+5276+1881</f>
        <v>239590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</row>
    <row r="66" spans="1:24" ht="12.75" hidden="1" customHeight="1">
      <c r="A66" s="792"/>
      <c r="B66" s="20">
        <v>85407</v>
      </c>
      <c r="C66" s="23" t="s">
        <v>60</v>
      </c>
      <c r="D66" s="8">
        <v>313359</v>
      </c>
      <c r="E66" s="8">
        <v>185895</v>
      </c>
      <c r="F66" s="21">
        <f>80368+12184+14222+2210+43058</f>
        <v>152042</v>
      </c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</row>
    <row r="67" spans="1:24" ht="60" hidden="1">
      <c r="A67" s="792"/>
      <c r="B67" s="20">
        <v>85410</v>
      </c>
      <c r="C67" s="23" t="s">
        <v>61</v>
      </c>
      <c r="D67" s="21">
        <v>869259</v>
      </c>
      <c r="E67" s="8">
        <v>622117</v>
      </c>
      <c r="F67" s="21">
        <f>187642+37269+50719+6507</f>
        <v>282137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</row>
    <row r="68" spans="1:24" ht="33" hidden="1" customHeight="1">
      <c r="A68" s="792"/>
      <c r="B68" s="20">
        <v>85412</v>
      </c>
      <c r="C68" s="10" t="s">
        <v>143</v>
      </c>
      <c r="D68" s="21">
        <v>26</v>
      </c>
      <c r="E68" s="8"/>
      <c r="F68" s="21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</row>
    <row r="69" spans="1:24" ht="84" hidden="1">
      <c r="A69" s="792"/>
      <c r="B69" s="20">
        <v>85415</v>
      </c>
      <c r="C69" s="7" t="s">
        <v>113</v>
      </c>
      <c r="D69" s="21">
        <v>311309</v>
      </c>
      <c r="E69" s="8">
        <v>89163</v>
      </c>
      <c r="F69" s="21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</row>
    <row r="70" spans="1:24" ht="84" hidden="1">
      <c r="A70" s="792"/>
      <c r="B70" s="20">
        <v>85420</v>
      </c>
      <c r="C70" s="23" t="s">
        <v>136</v>
      </c>
      <c r="D70" s="21">
        <v>737219</v>
      </c>
      <c r="E70" s="8">
        <v>365313</v>
      </c>
      <c r="F70" s="21">
        <f>192739+2379+27686+4650</f>
        <v>227454</v>
      </c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 ht="12" hidden="1" customHeight="1">
      <c r="A71" s="792"/>
      <c r="B71" s="20">
        <v>85446</v>
      </c>
      <c r="C71" s="7" t="s">
        <v>100</v>
      </c>
      <c r="D71" s="21">
        <v>7707</v>
      </c>
      <c r="E71" s="8">
        <v>0</v>
      </c>
      <c r="F71" s="21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</row>
    <row r="72" spans="1:24" ht="48" hidden="1">
      <c r="A72" s="792"/>
      <c r="B72" s="20">
        <v>85495</v>
      </c>
      <c r="C72" s="23" t="s">
        <v>89</v>
      </c>
      <c r="D72" s="8">
        <v>11690</v>
      </c>
      <c r="E72" s="8">
        <v>8766</v>
      </c>
      <c r="F72" s="8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</row>
    <row r="73" spans="1:24" s="4" customFormat="1" ht="108" hidden="1">
      <c r="A73" s="192">
        <v>921</v>
      </c>
      <c r="B73" s="25"/>
      <c r="C73" s="16" t="s">
        <v>134</v>
      </c>
      <c r="D73" s="17">
        <f>D74+D75</f>
        <v>0</v>
      </c>
      <c r="E73" s="17">
        <f>E74+E75</f>
        <v>0</v>
      </c>
      <c r="F73" s="17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</row>
    <row r="74" spans="1:24" ht="84" hidden="1">
      <c r="A74" s="792"/>
      <c r="B74" s="26">
        <v>92105</v>
      </c>
      <c r="C74" s="7" t="s">
        <v>135</v>
      </c>
      <c r="D74" s="8">
        <v>0</v>
      </c>
      <c r="E74" s="8"/>
      <c r="F74" s="8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</row>
    <row r="75" spans="1:24" ht="48" hidden="1">
      <c r="A75" s="792"/>
      <c r="B75" s="26">
        <v>92195</v>
      </c>
      <c r="C75" s="7" t="s">
        <v>89</v>
      </c>
      <c r="D75" s="8">
        <v>0</v>
      </c>
      <c r="E75" s="8">
        <v>0</v>
      </c>
      <c r="F75" s="8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</row>
    <row r="76" spans="1:24" ht="30" customHeight="1">
      <c r="A76" s="192">
        <v>921</v>
      </c>
      <c r="B76" s="26"/>
      <c r="C76" s="16" t="s">
        <v>157</v>
      </c>
      <c r="D76" s="17">
        <v>180000</v>
      </c>
      <c r="E76" s="17">
        <v>0</v>
      </c>
      <c r="F76" s="8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</row>
    <row r="77" spans="1:24" s="4" customFormat="1" ht="60">
      <c r="A77" s="192">
        <v>926</v>
      </c>
      <c r="B77" s="25"/>
      <c r="C77" s="16" t="s">
        <v>114</v>
      </c>
      <c r="D77" s="17">
        <v>954175</v>
      </c>
      <c r="E77" s="17">
        <v>314501.96999999997</v>
      </c>
      <c r="F77" s="17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96" hidden="1">
      <c r="A78" s="191"/>
      <c r="B78" s="26">
        <v>92605</v>
      </c>
      <c r="C78" s="7" t="s">
        <v>115</v>
      </c>
      <c r="D78" s="8">
        <v>51000</v>
      </c>
      <c r="E78" s="34">
        <v>25029</v>
      </c>
      <c r="F78" s="8">
        <v>0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</row>
    <row r="79" spans="1:24">
      <c r="A79" s="194"/>
    </row>
    <row r="80" spans="1:24">
      <c r="A80" s="194"/>
    </row>
    <row r="81" spans="1:1">
      <c r="A81" s="194"/>
    </row>
    <row r="102" spans="1:6" ht="45" customHeight="1"/>
    <row r="109" spans="1:6" ht="3" customHeight="1"/>
    <row r="110" spans="1:6" ht="15" hidden="1">
      <c r="A110" s="791"/>
      <c r="B110" s="791"/>
      <c r="C110" s="791"/>
      <c r="D110" s="791"/>
      <c r="E110" s="791"/>
      <c r="F110" s="791"/>
    </row>
    <row r="111" spans="1:6" hidden="1"/>
    <row r="112" spans="1:6" hidden="1"/>
    <row r="117" ht="30.75" customHeight="1"/>
    <row r="118" hidden="1"/>
    <row r="119" hidden="1"/>
    <row r="120" hidden="1"/>
    <row r="121" hidden="1"/>
    <row r="122" hidden="1"/>
    <row r="123" hidden="1"/>
    <row r="124" hidden="1"/>
    <row r="125" hidden="1"/>
  </sheetData>
  <mergeCells count="4">
    <mergeCell ref="A110:F110"/>
    <mergeCell ref="A61:A63"/>
    <mergeCell ref="A65:A72"/>
    <mergeCell ref="A74:A75"/>
  </mergeCells>
  <phoneticPr fontId="0" type="noConversion"/>
  <pageMargins left="0.82677165354330717" right="0.35433070866141736" top="0.98425196850393704" bottom="0.98425196850393704" header="0.51181102362204722" footer="0.51181102362204722"/>
  <pageSetup paperSize="9" orientation="portrait" r:id="rId1"/>
  <headerFooter alignWithMargins="0">
    <oddFooter>&amp;R&amp;7Wykres wydatków Powiatu Białogardzkiego w I półroczu 2008r.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6"/>
  <sheetViews>
    <sheetView view="pageLayout" workbookViewId="0">
      <selection activeCell="G18" sqref="G18"/>
    </sheetView>
  </sheetViews>
  <sheetFormatPr defaultRowHeight="12.75"/>
  <cols>
    <col min="1" max="1" width="4.85546875" style="59" customWidth="1"/>
    <col min="2" max="2" width="6.42578125" style="59" customWidth="1"/>
    <col min="3" max="3" width="7.28515625" style="59" customWidth="1"/>
    <col min="4" max="4" width="32.5703125" style="59" customWidth="1"/>
    <col min="5" max="5" width="14.7109375" style="59" customWidth="1"/>
    <col min="6" max="6" width="13.85546875" style="59" customWidth="1"/>
    <col min="7" max="16384" width="9.140625" style="59"/>
  </cols>
  <sheetData>
    <row r="1" spans="1:7">
      <c r="F1" s="653" t="s">
        <v>459</v>
      </c>
    </row>
    <row r="4" spans="1:7" ht="15.75" customHeight="1">
      <c r="A4" s="796" t="s">
        <v>374</v>
      </c>
      <c r="B4" s="796"/>
      <c r="C4" s="796"/>
      <c r="D4" s="796"/>
      <c r="E4" s="796"/>
      <c r="F4" s="796"/>
      <c r="G4" s="796"/>
    </row>
    <row r="5" spans="1:7" ht="15.75" customHeight="1">
      <c r="A5" s="796" t="s">
        <v>375</v>
      </c>
      <c r="B5" s="796"/>
      <c r="C5" s="796"/>
      <c r="D5" s="796"/>
      <c r="E5" s="796"/>
      <c r="F5" s="796"/>
      <c r="G5" s="796"/>
    </row>
    <row r="6" spans="1:7" ht="15.75" customHeight="1">
      <c r="A6" s="796" t="s">
        <v>320</v>
      </c>
      <c r="B6" s="796"/>
      <c r="C6" s="796"/>
      <c r="D6" s="796"/>
      <c r="E6" s="796"/>
      <c r="F6" s="796"/>
      <c r="G6" s="796"/>
    </row>
    <row r="7" spans="1:7" ht="15.75">
      <c r="A7" s="448"/>
      <c r="B7" s="448"/>
      <c r="C7" s="448"/>
      <c r="D7" s="448"/>
      <c r="E7" s="449"/>
      <c r="F7" s="358" t="s">
        <v>206</v>
      </c>
      <c r="G7" s="365"/>
    </row>
    <row r="8" spans="1:7" ht="21.75" customHeight="1">
      <c r="A8" s="450" t="s">
        <v>365</v>
      </c>
      <c r="B8" s="450" t="s">
        <v>0</v>
      </c>
      <c r="C8" s="450" t="s">
        <v>13</v>
      </c>
      <c r="D8" s="450" t="s">
        <v>200</v>
      </c>
      <c r="E8" s="451" t="s">
        <v>202</v>
      </c>
      <c r="F8" s="443" t="s">
        <v>144</v>
      </c>
      <c r="G8" s="443" t="s">
        <v>155</v>
      </c>
    </row>
    <row r="9" spans="1:7">
      <c r="A9" s="452">
        <v>1</v>
      </c>
      <c r="B9" s="452">
        <v>2</v>
      </c>
      <c r="C9" s="452">
        <v>3</v>
      </c>
      <c r="D9" s="452">
        <v>4</v>
      </c>
      <c r="E9" s="452">
        <v>5</v>
      </c>
      <c r="F9" s="452">
        <v>6</v>
      </c>
      <c r="G9" s="452">
        <v>7</v>
      </c>
    </row>
    <row r="10" spans="1:7" ht="25.5">
      <c r="A10" s="443">
        <v>1</v>
      </c>
      <c r="B10" s="443">
        <v>801</v>
      </c>
      <c r="C10" s="443">
        <v>80120</v>
      </c>
      <c r="D10" s="453" t="s">
        <v>366</v>
      </c>
      <c r="E10" s="454">
        <v>109869</v>
      </c>
      <c r="F10" s="444">
        <v>19952.46</v>
      </c>
      <c r="G10" s="445">
        <f>F10/E10*100</f>
        <v>18.160227179641208</v>
      </c>
    </row>
    <row r="11" spans="1:7" ht="25.5">
      <c r="A11" s="443">
        <v>2</v>
      </c>
      <c r="B11" s="443">
        <v>801</v>
      </c>
      <c r="C11" s="443">
        <v>80120</v>
      </c>
      <c r="D11" s="453" t="s">
        <v>367</v>
      </c>
      <c r="E11" s="454">
        <v>257000</v>
      </c>
      <c r="F11" s="444">
        <v>106211.58</v>
      </c>
      <c r="G11" s="445">
        <f t="shared" ref="G11:G23" si="0">F11/E11*100</f>
        <v>41.327463035019456</v>
      </c>
    </row>
    <row r="12" spans="1:7" ht="25.5">
      <c r="A12" s="443">
        <v>3</v>
      </c>
      <c r="B12" s="443">
        <v>801</v>
      </c>
      <c r="C12" s="443">
        <v>80120</v>
      </c>
      <c r="D12" s="453" t="s">
        <v>368</v>
      </c>
      <c r="E12" s="454">
        <v>28000</v>
      </c>
      <c r="F12" s="444">
        <v>5307.22</v>
      </c>
      <c r="G12" s="445">
        <f t="shared" si="0"/>
        <v>18.954357142857145</v>
      </c>
    </row>
    <row r="13" spans="1:7" ht="25.5">
      <c r="A13" s="443">
        <v>4</v>
      </c>
      <c r="B13" s="443">
        <v>801</v>
      </c>
      <c r="C13" s="443">
        <v>80120</v>
      </c>
      <c r="D13" s="453" t="s">
        <v>369</v>
      </c>
      <c r="E13" s="454">
        <f>158400-8978</f>
        <v>149422</v>
      </c>
      <c r="F13" s="444">
        <v>47563.44</v>
      </c>
      <c r="G13" s="445">
        <f t="shared" si="0"/>
        <v>31.831617834053887</v>
      </c>
    </row>
    <row r="14" spans="1:7" ht="25.5">
      <c r="A14" s="443">
        <v>5</v>
      </c>
      <c r="B14" s="443">
        <v>801</v>
      </c>
      <c r="C14" s="443">
        <v>80123</v>
      </c>
      <c r="D14" s="453" t="s">
        <v>370</v>
      </c>
      <c r="E14" s="454">
        <v>130000</v>
      </c>
      <c r="F14" s="444">
        <v>40950</v>
      </c>
      <c r="G14" s="445">
        <f t="shared" si="0"/>
        <v>31.5</v>
      </c>
    </row>
    <row r="15" spans="1:7" ht="25.5">
      <c r="A15" s="443">
        <v>6</v>
      </c>
      <c r="B15" s="443">
        <v>801</v>
      </c>
      <c r="C15" s="443">
        <v>80123</v>
      </c>
      <c r="D15" s="453" t="s">
        <v>204</v>
      </c>
      <c r="E15" s="454">
        <v>334911</v>
      </c>
      <c r="F15" s="444">
        <v>204589.3</v>
      </c>
      <c r="G15" s="445">
        <f t="shared" si="0"/>
        <v>61.087662095302932</v>
      </c>
    </row>
    <row r="16" spans="1:7">
      <c r="A16" s="443">
        <v>7</v>
      </c>
      <c r="B16" s="443">
        <v>801</v>
      </c>
      <c r="C16" s="443">
        <v>80130</v>
      </c>
      <c r="D16" s="453" t="s">
        <v>203</v>
      </c>
      <c r="E16" s="454">
        <f>322360-19456</f>
        <v>302904</v>
      </c>
      <c r="F16" s="444">
        <v>68614</v>
      </c>
      <c r="G16" s="445">
        <f t="shared" si="0"/>
        <v>22.652061379182843</v>
      </c>
    </row>
    <row r="17" spans="1:7">
      <c r="A17" s="443">
        <v>8</v>
      </c>
      <c r="B17" s="443">
        <v>801</v>
      </c>
      <c r="C17" s="443">
        <v>80130</v>
      </c>
      <c r="D17" s="453" t="s">
        <v>205</v>
      </c>
      <c r="E17" s="454">
        <f>268633-19456</f>
        <v>249177</v>
      </c>
      <c r="F17" s="444">
        <v>73710</v>
      </c>
      <c r="G17" s="445">
        <f t="shared" si="0"/>
        <v>29.581381909245234</v>
      </c>
    </row>
    <row r="18" spans="1:7" ht="25.5">
      <c r="A18" s="443">
        <v>9</v>
      </c>
      <c r="B18" s="443">
        <v>853</v>
      </c>
      <c r="C18" s="443">
        <v>85311</v>
      </c>
      <c r="D18" s="455" t="s">
        <v>371</v>
      </c>
      <c r="E18" s="454">
        <v>10000</v>
      </c>
      <c r="F18" s="444">
        <v>0</v>
      </c>
      <c r="G18" s="701">
        <f t="shared" si="0"/>
        <v>0</v>
      </c>
    </row>
    <row r="19" spans="1:7" ht="25.5">
      <c r="A19" s="443">
        <v>10</v>
      </c>
      <c r="B19" s="443">
        <v>854</v>
      </c>
      <c r="C19" s="443">
        <v>85419</v>
      </c>
      <c r="D19" s="455" t="s">
        <v>372</v>
      </c>
      <c r="E19" s="454">
        <v>947017</v>
      </c>
      <c r="F19" s="444">
        <v>384752</v>
      </c>
      <c r="G19" s="445">
        <f t="shared" si="0"/>
        <v>40.627781761045476</v>
      </c>
    </row>
    <row r="20" spans="1:7" s="365" customFormat="1">
      <c r="A20" s="443">
        <v>11</v>
      </c>
      <c r="B20" s="443">
        <v>921</v>
      </c>
      <c r="C20" s="443">
        <v>92195</v>
      </c>
      <c r="D20" s="455" t="s">
        <v>376</v>
      </c>
      <c r="E20" s="454">
        <v>70000</v>
      </c>
      <c r="F20" s="444">
        <v>0</v>
      </c>
      <c r="G20" s="701">
        <f t="shared" si="0"/>
        <v>0</v>
      </c>
    </row>
    <row r="21" spans="1:7">
      <c r="A21" s="443">
        <v>12</v>
      </c>
      <c r="B21" s="443">
        <v>921</v>
      </c>
      <c r="C21" s="443">
        <v>92116</v>
      </c>
      <c r="D21" s="453" t="s">
        <v>373</v>
      </c>
      <c r="E21" s="454">
        <v>50000</v>
      </c>
      <c r="F21" s="444">
        <v>0</v>
      </c>
      <c r="G21" s="701">
        <f t="shared" si="0"/>
        <v>0</v>
      </c>
    </row>
    <row r="22" spans="1:7" s="365" customFormat="1">
      <c r="A22" s="443">
        <v>13</v>
      </c>
      <c r="B22" s="443">
        <v>926</v>
      </c>
      <c r="C22" s="443">
        <v>92695</v>
      </c>
      <c r="D22" s="453" t="s">
        <v>377</v>
      </c>
      <c r="E22" s="454">
        <v>30000</v>
      </c>
      <c r="F22" s="444">
        <v>0</v>
      </c>
      <c r="G22" s="701">
        <f t="shared" si="0"/>
        <v>0</v>
      </c>
    </row>
    <row r="23" spans="1:7">
      <c r="A23" s="793" t="s">
        <v>201</v>
      </c>
      <c r="B23" s="794"/>
      <c r="C23" s="794"/>
      <c r="D23" s="795"/>
      <c r="E23" s="456">
        <f>E10+E11+E12+E13+E14+E15+E16+E17+E18+E19+E21+E20+E22</f>
        <v>2668300</v>
      </c>
      <c r="F23" s="446">
        <f>SUM(F10:F21)</f>
        <v>951650</v>
      </c>
      <c r="G23" s="447">
        <f t="shared" si="0"/>
        <v>35.66503016902147</v>
      </c>
    </row>
    <row r="26" spans="1:7">
      <c r="E26" s="457"/>
    </row>
  </sheetData>
  <mergeCells count="4">
    <mergeCell ref="A23:D23"/>
    <mergeCell ref="A4:G4"/>
    <mergeCell ref="A5:G5"/>
    <mergeCell ref="A6:G6"/>
  </mergeCells>
  <pageMargins left="0.7" right="0.32" top="0.75" bottom="0.75" header="0.3" footer="0.3"/>
  <pageSetup paperSize="9" orientation="portrait" r:id="rId1"/>
  <headerFooter>
    <oddFooter>&amp;C&amp;"Times New (W1),Normalny"Załącznik Nr 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Zakresy nazwane</vt:lpstr>
      </vt:variant>
      <vt:variant>
        <vt:i4>2</vt:i4>
      </vt:variant>
    </vt:vector>
  </HeadingPairs>
  <TitlesOfParts>
    <vt:vector size="25" baseType="lpstr">
      <vt:lpstr>zał 1</vt:lpstr>
      <vt:lpstr>wykres dochodów</vt:lpstr>
      <vt:lpstr>zał 2</vt:lpstr>
      <vt:lpstr>zał 3</vt:lpstr>
      <vt:lpstr>zał 4</vt:lpstr>
      <vt:lpstr>zał5</vt:lpstr>
      <vt:lpstr>zał6</vt:lpstr>
      <vt:lpstr>wykres wydatków</vt:lpstr>
      <vt:lpstr>zał 7</vt:lpstr>
      <vt:lpstr>zał 8i9</vt:lpstr>
      <vt:lpstr>zał10i11</vt:lpstr>
      <vt:lpstr>zał12i13</vt:lpstr>
      <vt:lpstr>zał14 </vt:lpstr>
      <vt:lpstr>zał15</vt:lpstr>
      <vt:lpstr>zał16</vt:lpstr>
      <vt:lpstr>zał17</vt:lpstr>
      <vt:lpstr>zał 18</vt:lpstr>
      <vt:lpstr>zał 19</vt:lpstr>
      <vt:lpstr>zał 20</vt:lpstr>
      <vt:lpstr>zał 21</vt:lpstr>
      <vt:lpstr>zał 22</vt:lpstr>
      <vt:lpstr>zał23</vt:lpstr>
      <vt:lpstr>Arkusz5</vt:lpstr>
      <vt:lpstr>'wykres dochodów'!Obszar_wydruku</vt:lpstr>
      <vt:lpstr>'zał 2'!Obszar_wydruku</vt:lpstr>
    </vt:vector>
  </TitlesOfParts>
  <Company>Powiat Białogard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Starostwo</dc:creator>
  <cp:lastModifiedBy>STBRD_7</cp:lastModifiedBy>
  <cp:lastPrinted>2008-07-30T05:51:44Z</cp:lastPrinted>
  <dcterms:created xsi:type="dcterms:W3CDTF">2003-12-03T07:20:24Z</dcterms:created>
  <dcterms:modified xsi:type="dcterms:W3CDTF">2008-09-01T08:49:22Z</dcterms:modified>
</cp:coreProperties>
</file>