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-15" windowWidth="19245" windowHeight="6270" tabRatio="680" firstSheet="14" activeTab="26"/>
  </bookViews>
  <sheets>
    <sheet name="wyk1" sheetId="1" r:id="rId1"/>
    <sheet name="zał 1" sheetId="2" r:id="rId2"/>
    <sheet name="wyk2" sheetId="3" r:id="rId3"/>
    <sheet name="zał 2" sheetId="4" r:id="rId4"/>
    <sheet name="zał 3" sheetId="5" r:id="rId5"/>
    <sheet name="zał 4" sheetId="33" r:id="rId6"/>
    <sheet name="zał 5" sheetId="25" r:id="rId7"/>
    <sheet name="wyk3" sheetId="7" r:id="rId8"/>
    <sheet name="zał 6" sheetId="8" r:id="rId9"/>
    <sheet name="wyk4" sheetId="9" r:id="rId10"/>
    <sheet name="zał7" sheetId="26" r:id="rId11"/>
    <sheet name="zał8-9" sheetId="29" r:id="rId12"/>
    <sheet name="zał 10" sheetId="30" r:id="rId13"/>
    <sheet name="zał11-12" sheetId="34" r:id="rId14"/>
    <sheet name="zał13" sheetId="10" r:id="rId15"/>
    <sheet name="zał14" sheetId="11" r:id="rId16"/>
    <sheet name="zał 15" sheetId="35" r:id="rId17"/>
    <sheet name="zał16" sheetId="28" r:id="rId18"/>
    <sheet name="zał  17" sheetId="14" r:id="rId19"/>
    <sheet name="zał18" sheetId="27" r:id="rId20"/>
    <sheet name="zał 19" sheetId="16" r:id="rId21"/>
    <sheet name="zał20" sheetId="17" r:id="rId22"/>
    <sheet name="zał21" sheetId="18" r:id="rId23"/>
    <sheet name="zał 22" sheetId="19" r:id="rId24"/>
    <sheet name="zał 23" sheetId="20" r:id="rId25"/>
    <sheet name="anul" sheetId="21" r:id="rId26"/>
    <sheet name="ZAŁ 25" sheetId="22" r:id="rId27"/>
    <sheet name="Arkusz1" sheetId="32" r:id="rId28"/>
  </sheets>
  <definedNames>
    <definedName name="_xlnm.Print_Area" localSheetId="0">'wyk1'!$A$1:$G$54</definedName>
    <definedName name="_xlnm.Print_Area" localSheetId="22">zał21!$A$1:$F$43</definedName>
  </definedNames>
  <calcPr calcId="124519"/>
</workbook>
</file>

<file path=xl/calcChain.xml><?xml version="1.0" encoding="utf-8"?>
<calcChain xmlns="http://schemas.openxmlformats.org/spreadsheetml/2006/main">
  <c r="J79" i="16"/>
  <c r="I79"/>
  <c r="J53"/>
  <c r="J41" l="1"/>
  <c r="L29" i="22"/>
  <c r="L28"/>
  <c r="L27"/>
  <c r="V27" s="1"/>
  <c r="V28"/>
  <c r="V26"/>
  <c r="H30"/>
  <c r="H29"/>
  <c r="F17" i="21"/>
  <c r="D16" i="20"/>
  <c r="C16"/>
  <c r="D13"/>
  <c r="C13"/>
  <c r="E25" i="18"/>
  <c r="D25"/>
  <c r="F38"/>
  <c r="F29"/>
  <c r="F28"/>
  <c r="F21"/>
  <c r="H11" i="17"/>
  <c r="H12"/>
  <c r="J12"/>
  <c r="I12"/>
  <c r="I22" i="16"/>
  <c r="I19"/>
  <c r="I18"/>
  <c r="I14"/>
  <c r="J86"/>
  <c r="J75"/>
  <c r="I75"/>
  <c r="I71"/>
  <c r="J71"/>
  <c r="J67"/>
  <c r="J63"/>
  <c r="I63"/>
  <c r="I56"/>
  <c r="J56"/>
  <c r="J52"/>
  <c r="J48"/>
  <c r="J44"/>
  <c r="I36"/>
  <c r="I32"/>
  <c r="J32"/>
  <c r="J25"/>
  <c r="I25"/>
  <c r="J21"/>
  <c r="J17"/>
  <c r="I13"/>
  <c r="J13"/>
  <c r="J12"/>
  <c r="I12" s="1"/>
  <c r="J11"/>
  <c r="I11" s="1"/>
  <c r="J10"/>
  <c r="I10" s="1"/>
  <c r="I17" l="1"/>
  <c r="I85"/>
  <c r="J83"/>
  <c r="I40"/>
  <c r="I86"/>
  <c r="I44"/>
  <c r="I48"/>
  <c r="I67"/>
  <c r="I9"/>
  <c r="I83"/>
  <c r="J84"/>
  <c r="J85"/>
  <c r="J9"/>
  <c r="I21"/>
  <c r="J40"/>
  <c r="I52"/>
  <c r="J82" l="1"/>
  <c r="I84"/>
  <c r="I82" s="1"/>
  <c r="F28" i="27" l="1"/>
  <c r="E28"/>
  <c r="F27"/>
  <c r="E27"/>
  <c r="F26"/>
  <c r="E26"/>
  <c r="F95"/>
  <c r="E95"/>
  <c r="F99"/>
  <c r="E99"/>
  <c r="C94"/>
  <c r="D94"/>
  <c r="D90"/>
  <c r="C90"/>
  <c r="E83"/>
  <c r="C75"/>
  <c r="D75"/>
  <c r="D70"/>
  <c r="C70"/>
  <c r="C62"/>
  <c r="D62"/>
  <c r="E58"/>
  <c r="E56"/>
  <c r="D52"/>
  <c r="C52"/>
  <c r="E51"/>
  <c r="D47"/>
  <c r="C47"/>
  <c r="D42"/>
  <c r="C42"/>
  <c r="D39"/>
  <c r="C39"/>
  <c r="C33"/>
  <c r="D33"/>
  <c r="D29"/>
  <c r="C29"/>
  <c r="C26"/>
  <c r="D25"/>
  <c r="C25"/>
  <c r="D23"/>
  <c r="C23"/>
  <c r="E14"/>
  <c r="D9"/>
  <c r="E9" s="1"/>
  <c r="C9"/>
  <c r="G35" i="8"/>
  <c r="D71" i="10"/>
  <c r="E71"/>
  <c r="I76"/>
  <c r="E76"/>
  <c r="D76"/>
  <c r="K60"/>
  <c r="E61"/>
  <c r="F61"/>
  <c r="F77"/>
  <c r="F76"/>
  <c r="K75"/>
  <c r="F73"/>
  <c r="F72"/>
  <c r="F71"/>
  <c r="F69"/>
  <c r="H68"/>
  <c r="G68"/>
  <c r="F68"/>
  <c r="I67"/>
  <c r="F67"/>
  <c r="F66"/>
  <c r="G65"/>
  <c r="H65"/>
  <c r="F65"/>
  <c r="H64"/>
  <c r="G64"/>
  <c r="F64"/>
  <c r="K64"/>
  <c r="H63"/>
  <c r="G63"/>
  <c r="F63"/>
  <c r="D61"/>
  <c r="I61"/>
  <c r="H61"/>
  <c r="G61"/>
  <c r="H60"/>
  <c r="G60"/>
  <c r="F60"/>
  <c r="K58"/>
  <c r="J58"/>
  <c r="I58"/>
  <c r="H58"/>
  <c r="G58"/>
  <c r="D58"/>
  <c r="F59"/>
  <c r="F57"/>
  <c r="H56"/>
  <c r="G56"/>
  <c r="F56"/>
  <c r="H55"/>
  <c r="G55"/>
  <c r="F55"/>
  <c r="I54"/>
  <c r="H54"/>
  <c r="G54"/>
  <c r="F54"/>
  <c r="F53"/>
  <c r="I52"/>
  <c r="H52"/>
  <c r="G52"/>
  <c r="F52"/>
  <c r="K48"/>
  <c r="J48"/>
  <c r="I48"/>
  <c r="H48"/>
  <c r="G48"/>
  <c r="F48"/>
  <c r="E48"/>
  <c r="D48"/>
  <c r="G50"/>
  <c r="F50"/>
  <c r="L50"/>
  <c r="I49"/>
  <c r="F49"/>
  <c r="K49"/>
  <c r="H47"/>
  <c r="G47"/>
  <c r="F47"/>
  <c r="H46"/>
  <c r="G46"/>
  <c r="F46"/>
  <c r="K30"/>
  <c r="J30"/>
  <c r="I30"/>
  <c r="H30"/>
  <c r="G30"/>
  <c r="F30"/>
  <c r="E30"/>
  <c r="D30"/>
  <c r="F45"/>
  <c r="F44"/>
  <c r="I44"/>
  <c r="L44"/>
  <c r="H43"/>
  <c r="G43"/>
  <c r="F43"/>
  <c r="H42"/>
  <c r="G42"/>
  <c r="F42"/>
  <c r="K42"/>
  <c r="H41"/>
  <c r="G41"/>
  <c r="F41"/>
  <c r="H40"/>
  <c r="G40"/>
  <c r="F40"/>
  <c r="H39"/>
  <c r="G39"/>
  <c r="F39"/>
  <c r="H38"/>
  <c r="G38"/>
  <c r="F38"/>
  <c r="F36"/>
  <c r="J36"/>
  <c r="F34"/>
  <c r="E34"/>
  <c r="D34"/>
  <c r="L32"/>
  <c r="F31"/>
  <c r="F29"/>
  <c r="F28"/>
  <c r="H27"/>
  <c r="G27"/>
  <c r="F27"/>
  <c r="K27"/>
  <c r="F26"/>
  <c r="K22"/>
  <c r="J22"/>
  <c r="I22"/>
  <c r="H22"/>
  <c r="G22"/>
  <c r="F22"/>
  <c r="E22"/>
  <c r="D22"/>
  <c r="L24"/>
  <c r="F23"/>
  <c r="K23"/>
  <c r="K19"/>
  <c r="J19"/>
  <c r="I19"/>
  <c r="H19"/>
  <c r="G19"/>
  <c r="F19"/>
  <c r="E19"/>
  <c r="D19"/>
  <c r="K21"/>
  <c r="L21"/>
  <c r="H20"/>
  <c r="G20"/>
  <c r="F20"/>
  <c r="K20"/>
  <c r="H18"/>
  <c r="G18"/>
  <c r="F18"/>
  <c r="F16"/>
  <c r="K13"/>
  <c r="J13"/>
  <c r="I13"/>
  <c r="H13"/>
  <c r="G13"/>
  <c r="F13"/>
  <c r="E13"/>
  <c r="D13"/>
  <c r="F15"/>
  <c r="F14"/>
  <c r="F12"/>
  <c r="F18" i="28"/>
  <c r="K21"/>
  <c r="J21"/>
  <c r="I21"/>
  <c r="H21"/>
  <c r="G21"/>
  <c r="F21"/>
  <c r="E21"/>
  <c r="D21"/>
  <c r="K24"/>
  <c r="J24"/>
  <c r="H24"/>
  <c r="G24"/>
  <c r="L23"/>
  <c r="L20"/>
  <c r="I19"/>
  <c r="F19"/>
  <c r="E19"/>
  <c r="D19"/>
  <c r="I18"/>
  <c r="I17" s="1"/>
  <c r="I24" s="1"/>
  <c r="L18"/>
  <c r="F17"/>
  <c r="E17"/>
  <c r="D17"/>
  <c r="L16"/>
  <c r="E15"/>
  <c r="D15"/>
  <c r="C104" i="27" l="1"/>
  <c r="D104"/>
  <c r="F9" s="1"/>
  <c r="E24" i="28"/>
  <c r="D24"/>
  <c r="L19"/>
  <c r="L21"/>
  <c r="L17"/>
  <c r="F15"/>
  <c r="L15" s="1"/>
  <c r="F24" l="1"/>
  <c r="L24" s="1"/>
  <c r="K17" i="35" l="1"/>
  <c r="J17"/>
  <c r="I17"/>
  <c r="H17"/>
  <c r="G17"/>
  <c r="F17"/>
  <c r="E17"/>
  <c r="D17"/>
  <c r="D15"/>
  <c r="E15"/>
  <c r="F15"/>
  <c r="G15"/>
  <c r="F16"/>
  <c r="L14"/>
  <c r="F13"/>
  <c r="E13"/>
  <c r="D13"/>
  <c r="L17" l="1"/>
  <c r="L13"/>
  <c r="F31" i="11" l="1"/>
  <c r="H30"/>
  <c r="G30"/>
  <c r="F30"/>
  <c r="H28"/>
  <c r="G28"/>
  <c r="F28"/>
  <c r="F26"/>
  <c r="H24"/>
  <c r="G24"/>
  <c r="F24"/>
  <c r="K24"/>
  <c r="G22"/>
  <c r="H22"/>
  <c r="E22"/>
  <c r="D22"/>
  <c r="H21"/>
  <c r="H19"/>
  <c r="G19"/>
  <c r="I92" i="8"/>
  <c r="G9" i="30" l="1"/>
  <c r="G17"/>
  <c r="G16"/>
  <c r="G15"/>
  <c r="G14"/>
  <c r="F23" i="29"/>
  <c r="F26" i="34"/>
  <c r="G26"/>
  <c r="H26"/>
  <c r="G10"/>
  <c r="H10" s="1"/>
  <c r="F10"/>
  <c r="H9"/>
  <c r="F18" i="30" l="1"/>
  <c r="E11"/>
  <c r="E18" s="1"/>
  <c r="F23" i="26"/>
  <c r="G18"/>
  <c r="E16"/>
  <c r="E15"/>
  <c r="E14"/>
  <c r="E11"/>
  <c r="E10"/>
  <c r="G17"/>
  <c r="H48" i="4"/>
  <c r="H50"/>
  <c r="H49"/>
  <c r="H103"/>
  <c r="H102"/>
  <c r="H108"/>
  <c r="H119"/>
  <c r="H134"/>
  <c r="H139"/>
  <c r="H166"/>
  <c r="F110"/>
  <c r="E110"/>
  <c r="G165"/>
  <c r="F165"/>
  <c r="F145"/>
  <c r="E145"/>
  <c r="H149"/>
  <c r="F121"/>
  <c r="E121"/>
  <c r="F107"/>
  <c r="E107"/>
  <c r="E102"/>
  <c r="F102"/>
  <c r="H100"/>
  <c r="H86"/>
  <c r="H57"/>
  <c r="H55"/>
  <c r="E49"/>
  <c r="E48" s="1"/>
  <c r="F49"/>
  <c r="F48" s="1"/>
  <c r="H44"/>
  <c r="H42"/>
  <c r="G21"/>
  <c r="F21"/>
  <c r="E21"/>
  <c r="H30"/>
  <c r="H29"/>
  <c r="H28"/>
  <c r="F11"/>
  <c r="F19" i="33"/>
  <c r="E19"/>
  <c r="F16"/>
  <c r="F15" s="1"/>
  <c r="E16"/>
  <c r="E15" s="1"/>
  <c r="G18"/>
  <c r="G17"/>
  <c r="G14"/>
  <c r="F13"/>
  <c r="E13"/>
  <c r="F12"/>
  <c r="G24" i="25"/>
  <c r="G21"/>
  <c r="G20"/>
  <c r="F26"/>
  <c r="E26"/>
  <c r="F23"/>
  <c r="E23"/>
  <c r="F15"/>
  <c r="E15"/>
  <c r="E20"/>
  <c r="F20"/>
  <c r="H45" i="5"/>
  <c r="G40"/>
  <c r="G39" s="1"/>
  <c r="G51"/>
  <c r="G50" s="1"/>
  <c r="E17"/>
  <c r="F17"/>
  <c r="F18"/>
  <c r="G13" i="33" l="1"/>
  <c r="G16"/>
  <c r="E12"/>
  <c r="G15"/>
  <c r="B26" i="1"/>
  <c r="B25"/>
  <c r="H220" i="2"/>
  <c r="H219"/>
  <c r="H191"/>
  <c r="H185"/>
  <c r="H184"/>
  <c r="H183"/>
  <c r="H161"/>
  <c r="H147"/>
  <c r="H142"/>
  <c r="H141"/>
  <c r="H139"/>
  <c r="H96"/>
  <c r="H86"/>
  <c r="H80"/>
  <c r="H79"/>
  <c r="H72"/>
  <c r="H68"/>
  <c r="H66"/>
  <c r="H27"/>
  <c r="G218"/>
  <c r="F218"/>
  <c r="E218"/>
  <c r="F70"/>
  <c r="E70"/>
  <c r="H125"/>
  <c r="F103"/>
  <c r="H94"/>
  <c r="H35" i="8"/>
  <c r="I86"/>
  <c r="F15"/>
  <c r="K57"/>
  <c r="J57"/>
  <c r="I57"/>
  <c r="H57"/>
  <c r="G57"/>
  <c r="F57"/>
  <c r="E57"/>
  <c r="D57"/>
  <c r="F91"/>
  <c r="I90"/>
  <c r="F90"/>
  <c r="K89"/>
  <c r="F87"/>
  <c r="F86"/>
  <c r="F85"/>
  <c r="F83"/>
  <c r="H82"/>
  <c r="G82"/>
  <c r="F82"/>
  <c r="I81"/>
  <c r="F81"/>
  <c r="F80"/>
  <c r="H79"/>
  <c r="G79"/>
  <c r="F79"/>
  <c r="H78"/>
  <c r="G78"/>
  <c r="F78"/>
  <c r="H77"/>
  <c r="G77"/>
  <c r="F77"/>
  <c r="I75"/>
  <c r="H75"/>
  <c r="G75"/>
  <c r="F75"/>
  <c r="F74"/>
  <c r="H73"/>
  <c r="G73"/>
  <c r="F73"/>
  <c r="K73"/>
  <c r="H72"/>
  <c r="G72"/>
  <c r="F72"/>
  <c r="F71"/>
  <c r="K61"/>
  <c r="J61"/>
  <c r="I61"/>
  <c r="H61"/>
  <c r="G61"/>
  <c r="F61"/>
  <c r="E61"/>
  <c r="D61"/>
  <c r="F69"/>
  <c r="L69"/>
  <c r="F68"/>
  <c r="H67"/>
  <c r="G67"/>
  <c r="F67"/>
  <c r="H66"/>
  <c r="G66"/>
  <c r="F66"/>
  <c r="I65"/>
  <c r="H65"/>
  <c r="F65"/>
  <c r="H64"/>
  <c r="G64"/>
  <c r="F64"/>
  <c r="I63"/>
  <c r="F63"/>
  <c r="I62"/>
  <c r="H62"/>
  <c r="G62"/>
  <c r="F62"/>
  <c r="G60"/>
  <c r="F60"/>
  <c r="L60"/>
  <c r="F59"/>
  <c r="I58"/>
  <c r="F58"/>
  <c r="K58"/>
  <c r="H56"/>
  <c r="G56"/>
  <c r="F56"/>
  <c r="H55"/>
  <c r="G55"/>
  <c r="F55"/>
  <c r="F54"/>
  <c r="F53"/>
  <c r="I53" s="1"/>
  <c r="L53"/>
  <c r="H52"/>
  <c r="G52"/>
  <c r="F52"/>
  <c r="H51"/>
  <c r="G51"/>
  <c r="K51"/>
  <c r="F51" s="1"/>
  <c r="H50"/>
  <c r="G50"/>
  <c r="F50"/>
  <c r="H49"/>
  <c r="G49"/>
  <c r="F49"/>
  <c r="H48"/>
  <c r="G48"/>
  <c r="F48"/>
  <c r="H47"/>
  <c r="G47"/>
  <c r="F47"/>
  <c r="F45"/>
  <c r="J45" s="1"/>
  <c r="F43"/>
  <c r="K42"/>
  <c r="H41"/>
  <c r="G41"/>
  <c r="K41"/>
  <c r="F41" s="1"/>
  <c r="F38" s="1"/>
  <c r="J38"/>
  <c r="I38"/>
  <c r="H38"/>
  <c r="G38"/>
  <c r="E38"/>
  <c r="D38"/>
  <c r="F40"/>
  <c r="L40"/>
  <c r="F39"/>
  <c r="F37"/>
  <c r="F36"/>
  <c r="F35"/>
  <c r="H34"/>
  <c r="G34"/>
  <c r="K34"/>
  <c r="F34" s="1"/>
  <c r="F33"/>
  <c r="H32"/>
  <c r="H30"/>
  <c r="G30"/>
  <c r="F30"/>
  <c r="F29"/>
  <c r="F28"/>
  <c r="D24"/>
  <c r="E24"/>
  <c r="L26"/>
  <c r="K25"/>
  <c r="K24" s="1"/>
  <c r="J21"/>
  <c r="I21"/>
  <c r="H21"/>
  <c r="E21"/>
  <c r="D21"/>
  <c r="K23"/>
  <c r="L23"/>
  <c r="H22"/>
  <c r="G22"/>
  <c r="G21" s="1"/>
  <c r="K22"/>
  <c r="K21" s="1"/>
  <c r="H20"/>
  <c r="G20"/>
  <c r="F20"/>
  <c r="E15"/>
  <c r="D15"/>
  <c r="F18"/>
  <c r="L18"/>
  <c r="F17"/>
  <c r="F16"/>
  <c r="G917" i="14"/>
  <c r="G910"/>
  <c r="G902"/>
  <c r="G872"/>
  <c r="G869"/>
  <c r="G868"/>
  <c r="G867"/>
  <c r="G866"/>
  <c r="G865"/>
  <c r="G861"/>
  <c r="G860"/>
  <c r="G859"/>
  <c r="G858"/>
  <c r="G857"/>
  <c r="G856"/>
  <c r="G855"/>
  <c r="G854"/>
  <c r="G823"/>
  <c r="G822"/>
  <c r="G803"/>
  <c r="G781"/>
  <c r="G757"/>
  <c r="G717"/>
  <c r="G716"/>
  <c r="G715"/>
  <c r="G714"/>
  <c r="G713"/>
  <c r="G698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49"/>
  <c r="G541"/>
  <c r="G540"/>
  <c r="G539"/>
  <c r="G538"/>
  <c r="G537"/>
  <c r="G536"/>
  <c r="G535"/>
  <c r="G534"/>
  <c r="G533"/>
  <c r="G532"/>
  <c r="G531"/>
  <c r="G528"/>
  <c r="G527"/>
  <c r="G526"/>
  <c r="G493"/>
  <c r="G492"/>
  <c r="G477"/>
  <c r="G474"/>
  <c r="G473"/>
  <c r="G465"/>
  <c r="G464"/>
  <c r="G463"/>
  <c r="G462"/>
  <c r="G461"/>
  <c r="G434"/>
  <c r="G381"/>
  <c r="G380"/>
  <c r="G379"/>
  <c r="G378"/>
  <c r="G377"/>
  <c r="G376"/>
  <c r="G375"/>
  <c r="G374"/>
  <c r="G373"/>
  <c r="G372"/>
  <c r="G371"/>
  <c r="G219"/>
  <c r="G218"/>
  <c r="G217"/>
  <c r="G184"/>
  <c r="G182"/>
  <c r="G181"/>
  <c r="G180"/>
  <c r="G179"/>
  <c r="G178"/>
  <c r="G90"/>
  <c r="G89"/>
  <c r="G82"/>
  <c r="G81"/>
  <c r="G68"/>
  <c r="G67"/>
  <c r="G66"/>
  <c r="G65"/>
  <c r="G64"/>
  <c r="G63"/>
  <c r="G62"/>
  <c r="G27"/>
  <c r="G23"/>
  <c r="G22"/>
  <c r="G21"/>
  <c r="G20"/>
  <c r="G19"/>
  <c r="F198" i="2"/>
  <c r="F183"/>
  <c r="E183"/>
  <c r="E155"/>
  <c r="G146"/>
  <c r="F146"/>
  <c r="E146"/>
  <c r="E103"/>
  <c r="E79"/>
  <c r="F79"/>
  <c r="G73"/>
  <c r="F73"/>
  <c r="E73"/>
  <c r="F50"/>
  <c r="F39"/>
  <c r="G29"/>
  <c r="G28" s="1"/>
  <c r="H38"/>
  <c r="H37"/>
  <c r="H36"/>
  <c r="F34"/>
  <c r="F29" s="1"/>
  <c r="E34"/>
  <c r="E29" s="1"/>
  <c r="E28" s="1"/>
  <c r="F16"/>
  <c r="E230" i="14"/>
  <c r="F183"/>
  <c r="E183"/>
  <c r="F184"/>
  <c r="E184"/>
  <c r="E217"/>
  <c r="F217"/>
  <c r="E175"/>
  <c r="F176"/>
  <c r="E176"/>
  <c r="H31" i="22"/>
  <c r="E276" i="14"/>
  <c r="E475"/>
  <c r="F507"/>
  <c r="E507"/>
  <c r="F542"/>
  <c r="E542"/>
  <c r="F13" i="22"/>
  <c r="D13"/>
  <c r="F923" i="14"/>
  <c r="E923"/>
  <c r="G926"/>
  <c r="F918"/>
  <c r="E918"/>
  <c r="E915"/>
  <c r="F909"/>
  <c r="E909"/>
  <c r="F872"/>
  <c r="F871" s="1"/>
  <c r="E872"/>
  <c r="E871" s="1"/>
  <c r="E893"/>
  <c r="F893"/>
  <c r="E865"/>
  <c r="F865"/>
  <c r="F803"/>
  <c r="F802" s="1"/>
  <c r="E803"/>
  <c r="E822"/>
  <c r="F822"/>
  <c r="G764"/>
  <c r="G776"/>
  <c r="G766"/>
  <c r="F697"/>
  <c r="E697"/>
  <c r="F540"/>
  <c r="E540"/>
  <c r="E530"/>
  <c r="F530"/>
  <c r="F526"/>
  <c r="E526"/>
  <c r="E473"/>
  <c r="F473"/>
  <c r="F453"/>
  <c r="E453"/>
  <c r="G459"/>
  <c r="G457"/>
  <c r="G456"/>
  <c r="F274"/>
  <c r="E274"/>
  <c r="E181"/>
  <c r="F181"/>
  <c r="G171"/>
  <c r="G164"/>
  <c r="G162"/>
  <c r="G149"/>
  <c r="G148"/>
  <c r="G156"/>
  <c r="E89"/>
  <c r="F89"/>
  <c r="F80"/>
  <c r="E80"/>
  <c r="F76"/>
  <c r="E76"/>
  <c r="F75"/>
  <c r="E75"/>
  <c r="F74"/>
  <c r="F71" s="1"/>
  <c r="E74"/>
  <c r="E71" s="1"/>
  <c r="E66"/>
  <c r="F66"/>
  <c r="F61"/>
  <c r="E61"/>
  <c r="G30"/>
  <c r="E22"/>
  <c r="F22"/>
  <c r="F18"/>
  <c r="E18"/>
  <c r="F853"/>
  <c r="F852" s="1"/>
  <c r="E853"/>
  <c r="E852" s="1"/>
  <c r="G835"/>
  <c r="F476"/>
  <c r="E476"/>
  <c r="F460"/>
  <c r="E460"/>
  <c r="G430"/>
  <c r="G428"/>
  <c r="G427"/>
  <c r="G426"/>
  <c r="G425"/>
  <c r="G417"/>
  <c r="G413"/>
  <c r="F406"/>
  <c r="E406"/>
  <c r="G369"/>
  <c r="G346"/>
  <c r="G344"/>
  <c r="G54"/>
  <c r="G215"/>
  <c r="G212"/>
  <c r="G198"/>
  <c r="G197"/>
  <c r="F648"/>
  <c r="E648"/>
  <c r="G670"/>
  <c r="G667"/>
  <c r="F898"/>
  <c r="E898"/>
  <c r="F491"/>
  <c r="E491"/>
  <c r="E616"/>
  <c r="F616"/>
  <c r="G637"/>
  <c r="F712"/>
  <c r="E712"/>
  <c r="F780"/>
  <c r="E780"/>
  <c r="G798"/>
  <c r="E692"/>
  <c r="F692"/>
  <c r="F674"/>
  <c r="E674"/>
  <c r="G607"/>
  <c r="G563"/>
  <c r="F508"/>
  <c r="E508"/>
  <c r="G512"/>
  <c r="F859"/>
  <c r="E859"/>
  <c r="F856"/>
  <c r="E856"/>
  <c r="F487"/>
  <c r="E487"/>
  <c r="G490"/>
  <c r="G448"/>
  <c r="G450"/>
  <c r="G334"/>
  <c r="G332"/>
  <c r="G863"/>
  <c r="F862"/>
  <c r="E862"/>
  <c r="G394"/>
  <c r="G392"/>
  <c r="G313"/>
  <c r="G303"/>
  <c r="E94"/>
  <c r="F94"/>
  <c r="F134" i="2"/>
  <c r="F132"/>
  <c r="F129"/>
  <c r="F128"/>
  <c r="E134"/>
  <c r="E132"/>
  <c r="E129"/>
  <c r="E128"/>
  <c r="E170"/>
  <c r="F170"/>
  <c r="E204"/>
  <c r="F204"/>
  <c r="H208"/>
  <c r="E157"/>
  <c r="E156"/>
  <c r="F123"/>
  <c r="F122"/>
  <c r="F119"/>
  <c r="F118"/>
  <c r="F117"/>
  <c r="E123"/>
  <c r="E122"/>
  <c r="E121"/>
  <c r="E119"/>
  <c r="E118"/>
  <c r="E117"/>
  <c r="E141"/>
  <c r="F141"/>
  <c r="J13" i="17"/>
  <c r="G13" i="30"/>
  <c r="G12"/>
  <c r="G11"/>
  <c r="G10"/>
  <c r="G18"/>
  <c r="E23" i="29"/>
  <c r="G22"/>
  <c r="G21"/>
  <c r="G20"/>
  <c r="G9"/>
  <c r="E10"/>
  <c r="G8"/>
  <c r="F10"/>
  <c r="G22" i="26"/>
  <c r="G21"/>
  <c r="G16"/>
  <c r="G15"/>
  <c r="G14"/>
  <c r="G13"/>
  <c r="G12"/>
  <c r="G11"/>
  <c r="G10"/>
  <c r="G9"/>
  <c r="E23"/>
  <c r="H46" i="5"/>
  <c r="G63"/>
  <c r="H163" i="4"/>
  <c r="H162"/>
  <c r="H160"/>
  <c r="H158"/>
  <c r="H157"/>
  <c r="H156"/>
  <c r="H154"/>
  <c r="H153"/>
  <c r="H152"/>
  <c r="H151"/>
  <c r="H148"/>
  <c r="H147"/>
  <c r="H142"/>
  <c r="H141"/>
  <c r="H140"/>
  <c r="H137"/>
  <c r="H136"/>
  <c r="H135"/>
  <c r="H133"/>
  <c r="H130"/>
  <c r="H129"/>
  <c r="H128"/>
  <c r="H127"/>
  <c r="H126"/>
  <c r="H120"/>
  <c r="H117"/>
  <c r="H116"/>
  <c r="H115"/>
  <c r="H114"/>
  <c r="H113"/>
  <c r="H112"/>
  <c r="H109"/>
  <c r="H105"/>
  <c r="H101"/>
  <c r="H99"/>
  <c r="H98"/>
  <c r="H95"/>
  <c r="H94"/>
  <c r="H93"/>
  <c r="H91"/>
  <c r="H90"/>
  <c r="H89"/>
  <c r="H85"/>
  <c r="H84"/>
  <c r="H83"/>
  <c r="H82"/>
  <c r="H80"/>
  <c r="H79"/>
  <c r="H78"/>
  <c r="H75"/>
  <c r="H74"/>
  <c r="H71"/>
  <c r="H69"/>
  <c r="H67"/>
  <c r="H65"/>
  <c r="H63"/>
  <c r="H60"/>
  <c r="H59"/>
  <c r="H56"/>
  <c r="H54"/>
  <c r="H53"/>
  <c r="H47"/>
  <c r="H45"/>
  <c r="H38"/>
  <c r="H37"/>
  <c r="H35"/>
  <c r="H34"/>
  <c r="H33"/>
  <c r="H27"/>
  <c r="H26"/>
  <c r="H25"/>
  <c r="H23"/>
  <c r="H22"/>
  <c r="H19"/>
  <c r="H15"/>
  <c r="H13"/>
  <c r="G164"/>
  <c r="G161"/>
  <c r="G159"/>
  <c r="G155"/>
  <c r="G150"/>
  <c r="G145"/>
  <c r="G138"/>
  <c r="G132"/>
  <c r="G125"/>
  <c r="G121"/>
  <c r="G118"/>
  <c r="G111"/>
  <c r="G107"/>
  <c r="G106" s="1"/>
  <c r="G104"/>
  <c r="G97"/>
  <c r="G88"/>
  <c r="G77"/>
  <c r="G73"/>
  <c r="G70"/>
  <c r="G68"/>
  <c r="G66"/>
  <c r="G64"/>
  <c r="G62"/>
  <c r="G58"/>
  <c r="G52"/>
  <c r="G46"/>
  <c r="G40"/>
  <c r="G32"/>
  <c r="G31" s="1"/>
  <c r="G20"/>
  <c r="G17"/>
  <c r="G16" s="1"/>
  <c r="G14"/>
  <c r="G11"/>
  <c r="H227" i="2"/>
  <c r="H224"/>
  <c r="H223"/>
  <c r="H221"/>
  <c r="H217"/>
  <c r="H216"/>
  <c r="H215"/>
  <c r="H213"/>
  <c r="H212"/>
  <c r="H211"/>
  <c r="H210"/>
  <c r="H207"/>
  <c r="H206"/>
  <c r="H201"/>
  <c r="H200"/>
  <c r="H199"/>
  <c r="H196"/>
  <c r="H194"/>
  <c r="H193"/>
  <c r="H192"/>
  <c r="H190"/>
  <c r="H188"/>
  <c r="H182"/>
  <c r="H180"/>
  <c r="H179"/>
  <c r="H178"/>
  <c r="H177"/>
  <c r="H176"/>
  <c r="H174"/>
  <c r="H168"/>
  <c r="H164"/>
  <c r="H162"/>
  <c r="H159"/>
  <c r="H158"/>
  <c r="H157"/>
  <c r="H156"/>
  <c r="H155"/>
  <c r="H154"/>
  <c r="H153"/>
  <c r="H150"/>
  <c r="H148"/>
  <c r="H144"/>
  <c r="H140"/>
  <c r="H138"/>
  <c r="H137"/>
  <c r="H134"/>
  <c r="H133"/>
  <c r="H132"/>
  <c r="H130"/>
  <c r="H129"/>
  <c r="H128"/>
  <c r="H124"/>
  <c r="H122"/>
  <c r="H121"/>
  <c r="H119"/>
  <c r="H118"/>
  <c r="H117"/>
  <c r="H114"/>
  <c r="H113"/>
  <c r="H110"/>
  <c r="H108"/>
  <c r="H106"/>
  <c r="H104"/>
  <c r="H102"/>
  <c r="H99"/>
  <c r="H98"/>
  <c r="H95"/>
  <c r="H93"/>
  <c r="H92"/>
  <c r="H89"/>
  <c r="H87"/>
  <c r="H84"/>
  <c r="H77"/>
  <c r="H74"/>
  <c r="H71"/>
  <c r="H69"/>
  <c r="H63"/>
  <c r="H59"/>
  <c r="H55"/>
  <c r="H53"/>
  <c r="H50"/>
  <c r="H49"/>
  <c r="H48"/>
  <c r="H47"/>
  <c r="H45"/>
  <c r="H44"/>
  <c r="H43"/>
  <c r="H35"/>
  <c r="H34"/>
  <c r="H33"/>
  <c r="H31"/>
  <c r="H30"/>
  <c r="H23"/>
  <c r="H20"/>
  <c r="H18"/>
  <c r="H12"/>
  <c r="F226"/>
  <c r="F225" s="1"/>
  <c r="F222"/>
  <c r="F214"/>
  <c r="F209"/>
  <c r="F197"/>
  <c r="F195"/>
  <c r="F189"/>
  <c r="F187"/>
  <c r="F186" s="1"/>
  <c r="F181"/>
  <c r="F175"/>
  <c r="F163"/>
  <c r="F160"/>
  <c r="F152"/>
  <c r="F149"/>
  <c r="F145" s="1"/>
  <c r="F143"/>
  <c r="F136"/>
  <c r="F127"/>
  <c r="F116"/>
  <c r="F112"/>
  <c r="F109"/>
  <c r="F107"/>
  <c r="F105"/>
  <c r="F101"/>
  <c r="F97"/>
  <c r="F91"/>
  <c r="F88"/>
  <c r="F81"/>
  <c r="F76"/>
  <c r="F75" s="1"/>
  <c r="F64"/>
  <c r="F62"/>
  <c r="F56"/>
  <c r="F54"/>
  <c r="F52"/>
  <c r="F42"/>
  <c r="F41" s="1"/>
  <c r="F25"/>
  <c r="F24" s="1"/>
  <c r="F22"/>
  <c r="F21"/>
  <c r="F19"/>
  <c r="F13"/>
  <c r="F11"/>
  <c r="G110" i="4" l="1"/>
  <c r="G131"/>
  <c r="G72"/>
  <c r="G61"/>
  <c r="G10"/>
  <c r="G144"/>
  <c r="G12" i="33"/>
  <c r="F10" i="2"/>
  <c r="F111"/>
  <c r="H123"/>
  <c r="F28"/>
  <c r="F22" i="8"/>
  <c r="F21" s="1"/>
  <c r="F25"/>
  <c r="F24" s="1"/>
  <c r="K38"/>
  <c r="F78" i="2"/>
  <c r="F61"/>
  <c r="E802" i="14"/>
  <c r="F15" i="2"/>
  <c r="F151"/>
  <c r="F203"/>
  <c r="F100"/>
  <c r="F90"/>
  <c r="F51"/>
  <c r="G10" i="29"/>
  <c r="G19"/>
  <c r="G23"/>
  <c r="G51" i="4"/>
  <c r="G39"/>
  <c r="H13" i="17"/>
  <c r="I13"/>
  <c r="L12"/>
  <c r="G167" i="4" l="1"/>
  <c r="G19" i="33"/>
  <c r="F228" i="2"/>
  <c r="L13" i="17"/>
  <c r="L31" i="10" l="1"/>
  <c r="L39" i="8"/>
  <c r="L14"/>
  <c r="F76"/>
  <c r="F70"/>
  <c r="K51" i="10"/>
  <c r="J51"/>
  <c r="I51"/>
  <c r="H51"/>
  <c r="G51"/>
  <c r="F51"/>
  <c r="E51"/>
  <c r="F11"/>
  <c r="E11"/>
  <c r="D11"/>
  <c r="L77"/>
  <c r="L75"/>
  <c r="L73"/>
  <c r="L72"/>
  <c r="L56"/>
  <c r="L46"/>
  <c r="L45"/>
  <c r="L43"/>
  <c r="L34"/>
  <c r="K17"/>
  <c r="J17"/>
  <c r="I17"/>
  <c r="H17"/>
  <c r="K25"/>
  <c r="J25"/>
  <c r="I25"/>
  <c r="H25"/>
  <c r="K35"/>
  <c r="J35"/>
  <c r="I35"/>
  <c r="H35"/>
  <c r="G35"/>
  <c r="K37"/>
  <c r="J37"/>
  <c r="I37"/>
  <c r="K62"/>
  <c r="J62"/>
  <c r="I62"/>
  <c r="K70"/>
  <c r="J70"/>
  <c r="I70"/>
  <c r="H70"/>
  <c r="G70"/>
  <c r="F70"/>
  <c r="E70"/>
  <c r="D70"/>
  <c r="K74"/>
  <c r="J74"/>
  <c r="I74"/>
  <c r="H74"/>
  <c r="G74"/>
  <c r="F74"/>
  <c r="E74"/>
  <c r="D74"/>
  <c r="L12"/>
  <c r="H16" i="11"/>
  <c r="H20"/>
  <c r="H23"/>
  <c r="H27"/>
  <c r="H29"/>
  <c r="G20" i="26"/>
  <c r="G19"/>
  <c r="K70" i="8"/>
  <c r="K76"/>
  <c r="G738" i="14"/>
  <c r="G737"/>
  <c r="G736"/>
  <c r="G735"/>
  <c r="G596"/>
  <c r="G545"/>
  <c r="G506"/>
  <c r="G505"/>
  <c r="G504"/>
  <c r="G503"/>
  <c r="G502"/>
  <c r="G501"/>
  <c r="G500"/>
  <c r="G498"/>
  <c r="G484"/>
  <c r="G483"/>
  <c r="G472"/>
  <c r="G471"/>
  <c r="G470"/>
  <c r="G469"/>
  <c r="G468"/>
  <c r="G467"/>
  <c r="G466"/>
  <c r="G79"/>
  <c r="G900"/>
  <c r="E26" i="19"/>
  <c r="E13"/>
  <c r="F23" i="18"/>
  <c r="F83" i="27"/>
  <c r="F103"/>
  <c r="E103"/>
  <c r="F102"/>
  <c r="E102"/>
  <c r="F101"/>
  <c r="E101"/>
  <c r="F100"/>
  <c r="E100"/>
  <c r="F98"/>
  <c r="E98"/>
  <c r="F97"/>
  <c r="E97"/>
  <c r="F96"/>
  <c r="E96"/>
  <c r="F94"/>
  <c r="E94"/>
  <c r="E93"/>
  <c r="E92"/>
  <c r="E91"/>
  <c r="E90"/>
  <c r="E89"/>
  <c r="E88"/>
  <c r="F87"/>
  <c r="E87"/>
  <c r="F86"/>
  <c r="E86"/>
  <c r="F85"/>
  <c r="E85"/>
  <c r="F84"/>
  <c r="E84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7"/>
  <c r="E57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3"/>
  <c r="E33"/>
  <c r="F32"/>
  <c r="E32"/>
  <c r="F31"/>
  <c r="E31"/>
  <c r="F30"/>
  <c r="E30"/>
  <c r="F29"/>
  <c r="E29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3"/>
  <c r="E13"/>
  <c r="E12"/>
  <c r="F11"/>
  <c r="E11"/>
  <c r="F10"/>
  <c r="E10"/>
  <c r="F167" i="14"/>
  <c r="F121"/>
  <c r="E121"/>
  <c r="G925"/>
  <c r="G924"/>
  <c r="G913"/>
  <c r="G911"/>
  <c r="F912"/>
  <c r="E912"/>
  <c r="G763"/>
  <c r="G762"/>
  <c r="G778"/>
  <c r="G777"/>
  <c r="G772"/>
  <c r="F761"/>
  <c r="E761"/>
  <c r="G730"/>
  <c r="E729"/>
  <c r="F729"/>
  <c r="F711" s="1"/>
  <c r="F586"/>
  <c r="E586"/>
  <c r="G589"/>
  <c r="G458"/>
  <c r="G455"/>
  <c r="G360"/>
  <c r="G359"/>
  <c r="F357"/>
  <c r="E357"/>
  <c r="G275"/>
  <c r="G252"/>
  <c r="E251"/>
  <c r="F251"/>
  <c r="F232"/>
  <c r="E232"/>
  <c r="F36"/>
  <c r="E36"/>
  <c r="G61"/>
  <c r="F226"/>
  <c r="F225" s="1"/>
  <c r="E226"/>
  <c r="E225" s="1"/>
  <c r="G227"/>
  <c r="F221"/>
  <c r="E221"/>
  <c r="G224"/>
  <c r="G223"/>
  <c r="G222"/>
  <c r="G177"/>
  <c r="E167"/>
  <c r="G172"/>
  <c r="G131"/>
  <c r="G76"/>
  <c r="E83"/>
  <c r="F83"/>
  <c r="G87"/>
  <c r="G86"/>
  <c r="G14"/>
  <c r="E13"/>
  <c r="F13"/>
  <c r="H76" i="8"/>
  <c r="H70"/>
  <c r="H31"/>
  <c r="K88"/>
  <c r="J88"/>
  <c r="I88"/>
  <c r="H88"/>
  <c r="G88"/>
  <c r="F88"/>
  <c r="E88"/>
  <c r="D88"/>
  <c r="L91"/>
  <c r="K84"/>
  <c r="J84"/>
  <c r="I84"/>
  <c r="H84"/>
  <c r="G84"/>
  <c r="F84"/>
  <c r="E84"/>
  <c r="D84"/>
  <c r="L87"/>
  <c r="L86"/>
  <c r="L67"/>
  <c r="L55"/>
  <c r="L52"/>
  <c r="L43"/>
  <c r="H27"/>
  <c r="H19"/>
  <c r="F11"/>
  <c r="E11"/>
  <c r="D11"/>
  <c r="E29" i="5"/>
  <c r="E165" i="4"/>
  <c r="F155"/>
  <c r="E155"/>
  <c r="F138"/>
  <c r="E138"/>
  <c r="F111"/>
  <c r="E111"/>
  <c r="E104"/>
  <c r="F104"/>
  <c r="F97"/>
  <c r="E97"/>
  <c r="F58"/>
  <c r="F52"/>
  <c r="E52"/>
  <c r="E46"/>
  <c r="F40"/>
  <c r="F17"/>
  <c r="E17"/>
  <c r="F16"/>
  <c r="E16"/>
  <c r="G14" i="25"/>
  <c r="E13"/>
  <c r="E12" s="1"/>
  <c r="F13"/>
  <c r="F40" i="5"/>
  <c r="E91" i="2"/>
  <c r="G222"/>
  <c r="E222"/>
  <c r="G226"/>
  <c r="E226"/>
  <c r="E197"/>
  <c r="G197"/>
  <c r="G170"/>
  <c r="H170" s="1"/>
  <c r="E143"/>
  <c r="G97"/>
  <c r="G91"/>
  <c r="E88"/>
  <c r="G88"/>
  <c r="G70"/>
  <c r="G56"/>
  <c r="E56"/>
  <c r="E51" s="1"/>
  <c r="E25"/>
  <c r="E24" s="1"/>
  <c r="G25"/>
  <c r="J14" i="22"/>
  <c r="J31" s="1"/>
  <c r="I14"/>
  <c r="I31" s="1"/>
  <c r="G14"/>
  <c r="G31" s="1"/>
  <c r="G759" i="14"/>
  <c r="G727"/>
  <c r="G580"/>
  <c r="G408"/>
  <c r="F497"/>
  <c r="E497"/>
  <c r="G851"/>
  <c r="F839"/>
  <c r="E839"/>
  <c r="G834"/>
  <c r="G480"/>
  <c r="G491"/>
  <c r="G494"/>
  <c r="G331"/>
  <c r="G451"/>
  <c r="G447"/>
  <c r="F517"/>
  <c r="E517"/>
  <c r="G521"/>
  <c r="F901"/>
  <c r="E901"/>
  <c r="G812"/>
  <c r="F277"/>
  <c r="E277"/>
  <c r="F481"/>
  <c r="E481"/>
  <c r="G754"/>
  <c r="G753"/>
  <c r="G750"/>
  <c r="G749"/>
  <c r="G746"/>
  <c r="G745"/>
  <c r="F734"/>
  <c r="E734"/>
  <c r="G709"/>
  <c r="G654"/>
  <c r="F544"/>
  <c r="E544"/>
  <c r="G112"/>
  <c r="G104"/>
  <c r="F896"/>
  <c r="E896"/>
  <c r="G635"/>
  <c r="G890"/>
  <c r="G886"/>
  <c r="G263"/>
  <c r="G191"/>
  <c r="E431"/>
  <c r="F431"/>
  <c r="E96"/>
  <c r="E136" i="2"/>
  <c r="G136"/>
  <c r="R29" i="22"/>
  <c r="R30"/>
  <c r="R31" s="1"/>
  <c r="U28"/>
  <c r="U26"/>
  <c r="F26"/>
  <c r="D26"/>
  <c r="L26" s="1"/>
  <c r="L25"/>
  <c r="V25" s="1"/>
  <c r="U24"/>
  <c r="L24"/>
  <c r="U23"/>
  <c r="L23"/>
  <c r="F22"/>
  <c r="E22"/>
  <c r="E30" s="1"/>
  <c r="E31" s="1"/>
  <c r="D22"/>
  <c r="U21"/>
  <c r="L21"/>
  <c r="U20"/>
  <c r="L20"/>
  <c r="U19"/>
  <c r="L19"/>
  <c r="U18"/>
  <c r="L18"/>
  <c r="U17"/>
  <c r="L17"/>
  <c r="T14"/>
  <c r="T31" s="1"/>
  <c r="S14"/>
  <c r="S31" s="1"/>
  <c r="Q14"/>
  <c r="Q31" s="1"/>
  <c r="P14"/>
  <c r="P31" s="1"/>
  <c r="O14"/>
  <c r="O31" s="1"/>
  <c r="N14"/>
  <c r="N31"/>
  <c r="K14"/>
  <c r="K31" s="1"/>
  <c r="F14"/>
  <c r="E14"/>
  <c r="D14"/>
  <c r="C14"/>
  <c r="C31" s="1"/>
  <c r="B14"/>
  <c r="B31" s="1"/>
  <c r="U13"/>
  <c r="L13"/>
  <c r="U12"/>
  <c r="L12"/>
  <c r="U11"/>
  <c r="L11"/>
  <c r="U10"/>
  <c r="L10"/>
  <c r="U9"/>
  <c r="L9"/>
  <c r="U8"/>
  <c r="L8"/>
  <c r="U7"/>
  <c r="L7"/>
  <c r="U6"/>
  <c r="L6"/>
  <c r="U5"/>
  <c r="L5"/>
  <c r="G916" i="14"/>
  <c r="G907"/>
  <c r="G906"/>
  <c r="G899"/>
  <c r="G897"/>
  <c r="G870"/>
  <c r="G699"/>
  <c r="G525"/>
  <c r="G524"/>
  <c r="G523"/>
  <c r="G520"/>
  <c r="G519"/>
  <c r="G518"/>
  <c r="G516"/>
  <c r="G515"/>
  <c r="G514"/>
  <c r="G511"/>
  <c r="G510"/>
  <c r="G509"/>
  <c r="G496"/>
  <c r="G489"/>
  <c r="G488"/>
  <c r="G486"/>
  <c r="G482"/>
  <c r="G479"/>
  <c r="G478"/>
  <c r="G452"/>
  <c r="G449"/>
  <c r="G446"/>
  <c r="G445"/>
  <c r="G444"/>
  <c r="G443"/>
  <c r="G442"/>
  <c r="G441"/>
  <c r="G440"/>
  <c r="G439"/>
  <c r="G438"/>
  <c r="G437"/>
  <c r="G436"/>
  <c r="G435"/>
  <c r="G433"/>
  <c r="G432"/>
  <c r="G296"/>
  <c r="G295"/>
  <c r="G294"/>
  <c r="G233"/>
  <c r="G60"/>
  <c r="G58"/>
  <c r="G57"/>
  <c r="G56"/>
  <c r="G55"/>
  <c r="G53"/>
  <c r="G52"/>
  <c r="G51"/>
  <c r="G50"/>
  <c r="F915"/>
  <c r="F905"/>
  <c r="E905"/>
  <c r="G892"/>
  <c r="G891"/>
  <c r="G887"/>
  <c r="G882"/>
  <c r="E869"/>
  <c r="F869"/>
  <c r="G821"/>
  <c r="G820"/>
  <c r="G819"/>
  <c r="G816"/>
  <c r="G815"/>
  <c r="G801"/>
  <c r="G800"/>
  <c r="G799"/>
  <c r="G795"/>
  <c r="G794"/>
  <c r="G791"/>
  <c r="G775"/>
  <c r="G774"/>
  <c r="G760"/>
  <c r="F755"/>
  <c r="E755"/>
  <c r="G728"/>
  <c r="G724"/>
  <c r="G722"/>
  <c r="G710"/>
  <c r="F700"/>
  <c r="E700"/>
  <c r="G673"/>
  <c r="G672"/>
  <c r="G671"/>
  <c r="G666"/>
  <c r="G664"/>
  <c r="G662"/>
  <c r="G661"/>
  <c r="G639"/>
  <c r="G638"/>
  <c r="G633"/>
  <c r="G631"/>
  <c r="G630"/>
  <c r="G629"/>
  <c r="F569"/>
  <c r="E569"/>
  <c r="G583"/>
  <c r="G578"/>
  <c r="F594"/>
  <c r="F593" s="1"/>
  <c r="E594"/>
  <c r="G615"/>
  <c r="G614"/>
  <c r="G613"/>
  <c r="G612"/>
  <c r="G611"/>
  <c r="G610"/>
  <c r="G609"/>
  <c r="G608"/>
  <c r="G568"/>
  <c r="G567"/>
  <c r="G566"/>
  <c r="G561"/>
  <c r="G560"/>
  <c r="F535"/>
  <c r="F529" s="1"/>
  <c r="E535"/>
  <c r="E529" s="1"/>
  <c r="E495"/>
  <c r="F495"/>
  <c r="F485"/>
  <c r="E485"/>
  <c r="F522"/>
  <c r="E522"/>
  <c r="G405"/>
  <c r="G401"/>
  <c r="G400"/>
  <c r="G396"/>
  <c r="E362"/>
  <c r="F362"/>
  <c r="F337"/>
  <c r="E337"/>
  <c r="G356"/>
  <c r="G355"/>
  <c r="G354"/>
  <c r="G351"/>
  <c r="G350"/>
  <c r="F315"/>
  <c r="E315"/>
  <c r="G336"/>
  <c r="G335"/>
  <c r="G329"/>
  <c r="G848"/>
  <c r="F513"/>
  <c r="E513"/>
  <c r="G422"/>
  <c r="G421"/>
  <c r="F297"/>
  <c r="E297"/>
  <c r="G314"/>
  <c r="G310"/>
  <c r="G309"/>
  <c r="G304"/>
  <c r="G291"/>
  <c r="G287"/>
  <c r="G250"/>
  <c r="G249"/>
  <c r="G248"/>
  <c r="G245"/>
  <c r="G238"/>
  <c r="G220"/>
  <c r="E219"/>
  <c r="F219"/>
  <c r="G214"/>
  <c r="G213"/>
  <c r="G209"/>
  <c r="G205"/>
  <c r="G204"/>
  <c r="G203"/>
  <c r="G194"/>
  <c r="F158"/>
  <c r="G166"/>
  <c r="E158"/>
  <c r="G154"/>
  <c r="G153"/>
  <c r="G152"/>
  <c r="G147"/>
  <c r="G142"/>
  <c r="G141"/>
  <c r="G140"/>
  <c r="G139"/>
  <c r="G115"/>
  <c r="G114"/>
  <c r="G110"/>
  <c r="G108"/>
  <c r="G107"/>
  <c r="F96"/>
  <c r="G88"/>
  <c r="G85"/>
  <c r="G84"/>
  <c r="G49"/>
  <c r="F25"/>
  <c r="F24" s="1"/>
  <c r="G33"/>
  <c r="G32"/>
  <c r="G31"/>
  <c r="G29"/>
  <c r="G28"/>
  <c r="E25"/>
  <c r="E24" s="1"/>
  <c r="F19" i="21"/>
  <c r="F11"/>
  <c r="F37" i="18"/>
  <c r="F36"/>
  <c r="F35"/>
  <c r="D18" i="19"/>
  <c r="E18"/>
  <c r="L31" i="11"/>
  <c r="L30"/>
  <c r="L28"/>
  <c r="L26"/>
  <c r="L24"/>
  <c r="L22"/>
  <c r="L21"/>
  <c r="L19"/>
  <c r="L18"/>
  <c r="L17"/>
  <c r="L15"/>
  <c r="L13"/>
  <c r="L12"/>
  <c r="L76" i="10"/>
  <c r="L71"/>
  <c r="L69"/>
  <c r="L68"/>
  <c r="L67"/>
  <c r="L65"/>
  <c r="L64"/>
  <c r="L63"/>
  <c r="L60"/>
  <c r="L57"/>
  <c r="L55"/>
  <c r="L54"/>
  <c r="L53"/>
  <c r="L52"/>
  <c r="L49"/>
  <c r="L47"/>
  <c r="L42"/>
  <c r="L41"/>
  <c r="L40"/>
  <c r="L39"/>
  <c r="L38"/>
  <c r="L36"/>
  <c r="L29"/>
  <c r="L28"/>
  <c r="L27"/>
  <c r="L26"/>
  <c r="L23"/>
  <c r="L20"/>
  <c r="L18"/>
  <c r="L15"/>
  <c r="L14"/>
  <c r="E35"/>
  <c r="G17"/>
  <c r="E17"/>
  <c r="E25"/>
  <c r="H37"/>
  <c r="E37"/>
  <c r="H62"/>
  <c r="H78" s="1"/>
  <c r="G62"/>
  <c r="F62"/>
  <c r="E62"/>
  <c r="L70"/>
  <c r="D11" i="11"/>
  <c r="E11"/>
  <c r="F11"/>
  <c r="E29"/>
  <c r="E27"/>
  <c r="E25"/>
  <c r="E23"/>
  <c r="E20"/>
  <c r="E16"/>
  <c r="E14"/>
  <c r="K16"/>
  <c r="J32"/>
  <c r="I32"/>
  <c r="L71" i="8"/>
  <c r="L89"/>
  <c r="D70"/>
  <c r="G19"/>
  <c r="K27"/>
  <c r="K46"/>
  <c r="I46"/>
  <c r="I70"/>
  <c r="G70"/>
  <c r="I76"/>
  <c r="E76"/>
  <c r="E70"/>
  <c r="E46"/>
  <c r="E44"/>
  <c r="F44" s="1"/>
  <c r="E31"/>
  <c r="E27"/>
  <c r="F27" s="1"/>
  <c r="E19"/>
  <c r="F19" s="1"/>
  <c r="L81"/>
  <c r="L42"/>
  <c r="L90"/>
  <c r="L85"/>
  <c r="L83"/>
  <c r="L82"/>
  <c r="L80"/>
  <c r="L79"/>
  <c r="L78"/>
  <c r="L77"/>
  <c r="L75"/>
  <c r="L74"/>
  <c r="L73"/>
  <c r="L72"/>
  <c r="L68"/>
  <c r="L66"/>
  <c r="L65"/>
  <c r="L64"/>
  <c r="L63"/>
  <c r="L62"/>
  <c r="L59"/>
  <c r="L58"/>
  <c r="L56"/>
  <c r="L54"/>
  <c r="L51"/>
  <c r="L50"/>
  <c r="L49"/>
  <c r="L48"/>
  <c r="L47"/>
  <c r="L45"/>
  <c r="L41"/>
  <c r="L37"/>
  <c r="L36"/>
  <c r="L35"/>
  <c r="L34"/>
  <c r="L33"/>
  <c r="L32"/>
  <c r="L30"/>
  <c r="L29"/>
  <c r="L28"/>
  <c r="L25"/>
  <c r="L22"/>
  <c r="L20"/>
  <c r="L17"/>
  <c r="L16"/>
  <c r="L13"/>
  <c r="L12"/>
  <c r="G25" i="25"/>
  <c r="F22"/>
  <c r="G22" s="1"/>
  <c r="E22"/>
  <c r="G19"/>
  <c r="F18"/>
  <c r="E18"/>
  <c r="G17"/>
  <c r="F16"/>
  <c r="E16"/>
  <c r="H23" i="5"/>
  <c r="F51"/>
  <c r="E51"/>
  <c r="E40"/>
  <c r="F29"/>
  <c r="E15"/>
  <c r="E12" s="1"/>
  <c r="F15"/>
  <c r="F12" s="1"/>
  <c r="E164" i="4"/>
  <c r="F161"/>
  <c r="E161"/>
  <c r="F159"/>
  <c r="E159"/>
  <c r="F150"/>
  <c r="E150"/>
  <c r="F132"/>
  <c r="E132"/>
  <c r="F125"/>
  <c r="E125"/>
  <c r="F118"/>
  <c r="E118"/>
  <c r="E106"/>
  <c r="F88"/>
  <c r="E88"/>
  <c r="F77"/>
  <c r="E77"/>
  <c r="F73"/>
  <c r="F72" s="1"/>
  <c r="E73"/>
  <c r="E72" s="1"/>
  <c r="F70"/>
  <c r="E70"/>
  <c r="F68"/>
  <c r="E68"/>
  <c r="F66"/>
  <c r="E66"/>
  <c r="F64"/>
  <c r="E64"/>
  <c r="F62"/>
  <c r="E62"/>
  <c r="E58"/>
  <c r="F46"/>
  <c r="H46" s="1"/>
  <c r="E40"/>
  <c r="E39" s="1"/>
  <c r="F32"/>
  <c r="E32"/>
  <c r="E31" s="1"/>
  <c r="E20"/>
  <c r="F14"/>
  <c r="E14"/>
  <c r="E11"/>
  <c r="G163" i="2"/>
  <c r="E163"/>
  <c r="G204"/>
  <c r="G209"/>
  <c r="E209"/>
  <c r="G160"/>
  <c r="E160"/>
  <c r="G103"/>
  <c r="H103" s="1"/>
  <c r="G81"/>
  <c r="E81"/>
  <c r="E78" s="1"/>
  <c r="G16"/>
  <c r="E16"/>
  <c r="B4" i="1"/>
  <c r="E11" i="2"/>
  <c r="G11"/>
  <c r="E13"/>
  <c r="G13"/>
  <c r="E19"/>
  <c r="G19"/>
  <c r="E21"/>
  <c r="G21"/>
  <c r="E22"/>
  <c r="G22"/>
  <c r="E42"/>
  <c r="E41" s="1"/>
  <c r="G42"/>
  <c r="E52"/>
  <c r="G52"/>
  <c r="E54"/>
  <c r="G54"/>
  <c r="E62"/>
  <c r="G62"/>
  <c r="E64"/>
  <c r="G64"/>
  <c r="E76"/>
  <c r="E75" s="1"/>
  <c r="G76"/>
  <c r="E97"/>
  <c r="E90" s="1"/>
  <c r="E101"/>
  <c r="G101"/>
  <c r="E105"/>
  <c r="G105"/>
  <c r="E107"/>
  <c r="G107"/>
  <c r="E109"/>
  <c r="G109"/>
  <c r="E112"/>
  <c r="G112"/>
  <c r="E116"/>
  <c r="G116"/>
  <c r="E149"/>
  <c r="E145" s="1"/>
  <c r="G149"/>
  <c r="G145" s="1"/>
  <c r="E175"/>
  <c r="G175"/>
  <c r="E181"/>
  <c r="G181"/>
  <c r="E187"/>
  <c r="G187"/>
  <c r="E189"/>
  <c r="G189"/>
  <c r="E195"/>
  <c r="G195"/>
  <c r="H218"/>
  <c r="E225"/>
  <c r="G225"/>
  <c r="E13" i="18"/>
  <c r="F13" s="1"/>
  <c r="D18"/>
  <c r="E18"/>
  <c r="F20"/>
  <c r="F22"/>
  <c r="F26"/>
  <c r="F27"/>
  <c r="F30"/>
  <c r="F31"/>
  <c r="F32"/>
  <c r="F33"/>
  <c r="F34"/>
  <c r="E40"/>
  <c r="F40" s="1"/>
  <c r="F13" i="19"/>
  <c r="F18"/>
  <c r="F19"/>
  <c r="D21"/>
  <c r="E21"/>
  <c r="F21"/>
  <c r="F22"/>
  <c r="F23"/>
  <c r="F24"/>
  <c r="F26"/>
  <c r="D19" i="20"/>
  <c r="C19"/>
  <c r="C24"/>
  <c r="D24"/>
  <c r="C29"/>
  <c r="D29"/>
  <c r="D22" s="1"/>
  <c r="F12" i="21"/>
  <c r="F13"/>
  <c r="F14"/>
  <c r="F15"/>
  <c r="F16"/>
  <c r="F18"/>
  <c r="E13" i="5"/>
  <c r="F13"/>
  <c r="H13" s="1"/>
  <c r="H14"/>
  <c r="E21"/>
  <c r="E20" s="1"/>
  <c r="F21"/>
  <c r="F20" s="1"/>
  <c r="H22"/>
  <c r="E25"/>
  <c r="F25"/>
  <c r="H26"/>
  <c r="E27"/>
  <c r="F27"/>
  <c r="H28"/>
  <c r="H32"/>
  <c r="E35"/>
  <c r="E34" s="1"/>
  <c r="F35"/>
  <c r="H36"/>
  <c r="E37"/>
  <c r="F37"/>
  <c r="H38"/>
  <c r="E39"/>
  <c r="F39"/>
  <c r="H43"/>
  <c r="E48"/>
  <c r="E47"/>
  <c r="F48"/>
  <c r="F47" s="1"/>
  <c r="H47" s="1"/>
  <c r="H49"/>
  <c r="E50"/>
  <c r="H52"/>
  <c r="H56"/>
  <c r="E59"/>
  <c r="F59"/>
  <c r="H60"/>
  <c r="E61"/>
  <c r="F61"/>
  <c r="H62"/>
  <c r="D19" i="8"/>
  <c r="L19" s="1"/>
  <c r="L24"/>
  <c r="D27"/>
  <c r="G27"/>
  <c r="D31"/>
  <c r="K31"/>
  <c r="G31"/>
  <c r="D44"/>
  <c r="J44"/>
  <c r="D46"/>
  <c r="L46" s="1"/>
  <c r="G46"/>
  <c r="D76"/>
  <c r="L84"/>
  <c r="D17" i="10"/>
  <c r="L17" s="1"/>
  <c r="F17"/>
  <c r="L19"/>
  <c r="L22"/>
  <c r="D25"/>
  <c r="L25" s="1"/>
  <c r="F25"/>
  <c r="G25"/>
  <c r="D35"/>
  <c r="L35" s="1"/>
  <c r="F35"/>
  <c r="D37"/>
  <c r="L37" s="1"/>
  <c r="L48"/>
  <c r="D51"/>
  <c r="D62"/>
  <c r="L62" s="1"/>
  <c r="E9" i="14"/>
  <c r="F9"/>
  <c r="G10"/>
  <c r="E11"/>
  <c r="F11"/>
  <c r="G12"/>
  <c r="E16"/>
  <c r="E15" s="1"/>
  <c r="F16"/>
  <c r="F15" s="1"/>
  <c r="G17"/>
  <c r="G26"/>
  <c r="G37"/>
  <c r="G38"/>
  <c r="G39"/>
  <c r="G40"/>
  <c r="G41"/>
  <c r="G42"/>
  <c r="G43"/>
  <c r="G44"/>
  <c r="G45"/>
  <c r="G46"/>
  <c r="G47"/>
  <c r="G48"/>
  <c r="G72"/>
  <c r="G73"/>
  <c r="G74"/>
  <c r="G77"/>
  <c r="G80"/>
  <c r="E92"/>
  <c r="F92"/>
  <c r="G93"/>
  <c r="G95"/>
  <c r="G97"/>
  <c r="G98"/>
  <c r="G99"/>
  <c r="G100"/>
  <c r="G101"/>
  <c r="G102"/>
  <c r="G103"/>
  <c r="G105"/>
  <c r="G106"/>
  <c r="G109"/>
  <c r="G111"/>
  <c r="G113"/>
  <c r="E117"/>
  <c r="F117"/>
  <c r="G118"/>
  <c r="G119"/>
  <c r="G120"/>
  <c r="G122"/>
  <c r="G123"/>
  <c r="G124"/>
  <c r="E125"/>
  <c r="F125"/>
  <c r="G126"/>
  <c r="G127"/>
  <c r="G128"/>
  <c r="G129"/>
  <c r="G130"/>
  <c r="G132"/>
  <c r="G133"/>
  <c r="G134"/>
  <c r="G135"/>
  <c r="G136"/>
  <c r="G137"/>
  <c r="G138"/>
  <c r="G143"/>
  <c r="G144"/>
  <c r="G145"/>
  <c r="G146"/>
  <c r="G150"/>
  <c r="G151"/>
  <c r="G155"/>
  <c r="G157"/>
  <c r="G159"/>
  <c r="G160"/>
  <c r="G161"/>
  <c r="G163"/>
  <c r="G165"/>
  <c r="G168"/>
  <c r="G169"/>
  <c r="G170"/>
  <c r="E173"/>
  <c r="F173"/>
  <c r="G174"/>
  <c r="G185"/>
  <c r="G186"/>
  <c r="G187"/>
  <c r="G188"/>
  <c r="G189"/>
  <c r="G190"/>
  <c r="G192"/>
  <c r="G193"/>
  <c r="G195"/>
  <c r="G196"/>
  <c r="G199"/>
  <c r="G200"/>
  <c r="G201"/>
  <c r="G202"/>
  <c r="G206"/>
  <c r="G207"/>
  <c r="G208"/>
  <c r="G210"/>
  <c r="G211"/>
  <c r="G216"/>
  <c r="G228"/>
  <c r="G229"/>
  <c r="G234"/>
  <c r="G235"/>
  <c r="G236"/>
  <c r="G237"/>
  <c r="G239"/>
  <c r="G240"/>
  <c r="G241"/>
  <c r="G242"/>
  <c r="G243"/>
  <c r="G244"/>
  <c r="G246"/>
  <c r="G247"/>
  <c r="E254"/>
  <c r="F254"/>
  <c r="G255"/>
  <c r="G256"/>
  <c r="G257"/>
  <c r="G258"/>
  <c r="G259"/>
  <c r="G260"/>
  <c r="G261"/>
  <c r="G262"/>
  <c r="G264"/>
  <c r="G265"/>
  <c r="G266"/>
  <c r="E267"/>
  <c r="F267"/>
  <c r="G268"/>
  <c r="G269"/>
  <c r="G270"/>
  <c r="G271"/>
  <c r="G272"/>
  <c r="G273"/>
  <c r="G278"/>
  <c r="G279"/>
  <c r="G280"/>
  <c r="G281"/>
  <c r="G282"/>
  <c r="G283"/>
  <c r="G284"/>
  <c r="G285"/>
  <c r="G286"/>
  <c r="G288"/>
  <c r="G289"/>
  <c r="G290"/>
  <c r="G292"/>
  <c r="G293"/>
  <c r="G298"/>
  <c r="G299"/>
  <c r="G300"/>
  <c r="G301"/>
  <c r="G302"/>
  <c r="G305"/>
  <c r="G306"/>
  <c r="G307"/>
  <c r="G308"/>
  <c r="G311"/>
  <c r="G312"/>
  <c r="G316"/>
  <c r="G317"/>
  <c r="G318"/>
  <c r="G319"/>
  <c r="G320"/>
  <c r="G321"/>
  <c r="G322"/>
  <c r="G323"/>
  <c r="G324"/>
  <c r="G325"/>
  <c r="G326"/>
  <c r="G327"/>
  <c r="G328"/>
  <c r="G330"/>
  <c r="G333"/>
  <c r="G338"/>
  <c r="G339"/>
  <c r="G340"/>
  <c r="G341"/>
  <c r="G342"/>
  <c r="G343"/>
  <c r="G345"/>
  <c r="G347"/>
  <c r="G348"/>
  <c r="G349"/>
  <c r="G352"/>
  <c r="G353"/>
  <c r="G358"/>
  <c r="G363"/>
  <c r="G364"/>
  <c r="G365"/>
  <c r="G366"/>
  <c r="G367"/>
  <c r="G368"/>
  <c r="G370"/>
  <c r="E382"/>
  <c r="F382"/>
  <c r="G383"/>
  <c r="E385"/>
  <c r="F385"/>
  <c r="G386"/>
  <c r="G387"/>
  <c r="G388"/>
  <c r="G389"/>
  <c r="G390"/>
  <c r="G391"/>
  <c r="G393"/>
  <c r="G395"/>
  <c r="G397"/>
  <c r="G398"/>
  <c r="G399"/>
  <c r="G402"/>
  <c r="G403"/>
  <c r="G404"/>
  <c r="G407"/>
  <c r="G409"/>
  <c r="G410"/>
  <c r="G411"/>
  <c r="G412"/>
  <c r="G414"/>
  <c r="G415"/>
  <c r="G416"/>
  <c r="G418"/>
  <c r="G419"/>
  <c r="G420"/>
  <c r="G423"/>
  <c r="G424"/>
  <c r="G429"/>
  <c r="G454"/>
  <c r="G546"/>
  <c r="G547"/>
  <c r="G548"/>
  <c r="G549"/>
  <c r="G550"/>
  <c r="G551"/>
  <c r="G552"/>
  <c r="G553"/>
  <c r="G554"/>
  <c r="G555"/>
  <c r="G556"/>
  <c r="G557"/>
  <c r="G558"/>
  <c r="G559"/>
  <c r="G562"/>
  <c r="G564"/>
  <c r="G565"/>
  <c r="G570"/>
  <c r="G571"/>
  <c r="G572"/>
  <c r="G573"/>
  <c r="G574"/>
  <c r="G575"/>
  <c r="G576"/>
  <c r="G577"/>
  <c r="G579"/>
  <c r="G581"/>
  <c r="G582"/>
  <c r="E584"/>
  <c r="E543" s="1"/>
  <c r="F584"/>
  <c r="G585"/>
  <c r="G587"/>
  <c r="G588"/>
  <c r="E590"/>
  <c r="F590"/>
  <c r="G591"/>
  <c r="G592"/>
  <c r="G595"/>
  <c r="G597"/>
  <c r="G598"/>
  <c r="G599"/>
  <c r="G600"/>
  <c r="G601"/>
  <c r="G602"/>
  <c r="G603"/>
  <c r="G604"/>
  <c r="G605"/>
  <c r="G606"/>
  <c r="G618"/>
  <c r="G619"/>
  <c r="G620"/>
  <c r="G621"/>
  <c r="G622"/>
  <c r="G623"/>
  <c r="G624"/>
  <c r="G625"/>
  <c r="G626"/>
  <c r="G627"/>
  <c r="G628"/>
  <c r="G632"/>
  <c r="G634"/>
  <c r="G636"/>
  <c r="E641"/>
  <c r="F641"/>
  <c r="G642"/>
  <c r="G643"/>
  <c r="G644"/>
  <c r="G645"/>
  <c r="E646"/>
  <c r="F646"/>
  <c r="G647"/>
  <c r="G650"/>
  <c r="G651"/>
  <c r="G652"/>
  <c r="G653"/>
  <c r="G655"/>
  <c r="G656"/>
  <c r="G657"/>
  <c r="G658"/>
  <c r="G659"/>
  <c r="G660"/>
  <c r="G663"/>
  <c r="G665"/>
  <c r="G668"/>
  <c r="G669"/>
  <c r="E690"/>
  <c r="F690"/>
  <c r="G701"/>
  <c r="G702"/>
  <c r="G703"/>
  <c r="G704"/>
  <c r="G705"/>
  <c r="G706"/>
  <c r="G707"/>
  <c r="G708"/>
  <c r="G718"/>
  <c r="G719"/>
  <c r="G720"/>
  <c r="G721"/>
  <c r="G723"/>
  <c r="G725"/>
  <c r="G726"/>
  <c r="E731"/>
  <c r="F731"/>
  <c r="G732"/>
  <c r="G739"/>
  <c r="G740"/>
  <c r="G741"/>
  <c r="G742"/>
  <c r="G743"/>
  <c r="G744"/>
  <c r="G747"/>
  <c r="G748"/>
  <c r="G751"/>
  <c r="G752"/>
  <c r="G756"/>
  <c r="G758"/>
  <c r="G765"/>
  <c r="G767"/>
  <c r="G768"/>
  <c r="G769"/>
  <c r="G770"/>
  <c r="G771"/>
  <c r="G773"/>
  <c r="G782"/>
  <c r="G783"/>
  <c r="G784"/>
  <c r="G785"/>
  <c r="G786"/>
  <c r="G787"/>
  <c r="G788"/>
  <c r="G789"/>
  <c r="G790"/>
  <c r="G792"/>
  <c r="G793"/>
  <c r="G796"/>
  <c r="G797"/>
  <c r="G804"/>
  <c r="G805"/>
  <c r="G806"/>
  <c r="G807"/>
  <c r="G808"/>
  <c r="G809"/>
  <c r="G810"/>
  <c r="G811"/>
  <c r="G813"/>
  <c r="G814"/>
  <c r="G817"/>
  <c r="G818"/>
  <c r="E825"/>
  <c r="E824" s="1"/>
  <c r="F825"/>
  <c r="F824" s="1"/>
  <c r="G826"/>
  <c r="G827"/>
  <c r="G828"/>
  <c r="G829"/>
  <c r="G830"/>
  <c r="G831"/>
  <c r="G832"/>
  <c r="G833"/>
  <c r="G836"/>
  <c r="G837"/>
  <c r="G838"/>
  <c r="G840"/>
  <c r="G841"/>
  <c r="G842"/>
  <c r="G843"/>
  <c r="G844"/>
  <c r="G845"/>
  <c r="G846"/>
  <c r="G847"/>
  <c r="G849"/>
  <c r="G850"/>
  <c r="G864"/>
  <c r="G873"/>
  <c r="G874"/>
  <c r="G875"/>
  <c r="G876"/>
  <c r="G877"/>
  <c r="G878"/>
  <c r="G879"/>
  <c r="G880"/>
  <c r="G881"/>
  <c r="G883"/>
  <c r="G884"/>
  <c r="G885"/>
  <c r="G888"/>
  <c r="G889"/>
  <c r="G903"/>
  <c r="G908"/>
  <c r="G920"/>
  <c r="G921"/>
  <c r="G922"/>
  <c r="D14" i="11"/>
  <c r="L14" s="1"/>
  <c r="F14"/>
  <c r="D16"/>
  <c r="L16" s="1"/>
  <c r="F16"/>
  <c r="G16"/>
  <c r="D20"/>
  <c r="L20" s="1"/>
  <c r="F20"/>
  <c r="G20"/>
  <c r="D23"/>
  <c r="L23" s="1"/>
  <c r="F23"/>
  <c r="G23"/>
  <c r="K23"/>
  <c r="D25"/>
  <c r="L25" s="1"/>
  <c r="F25"/>
  <c r="D27"/>
  <c r="L27" s="1"/>
  <c r="F27"/>
  <c r="G27"/>
  <c r="D29"/>
  <c r="F29"/>
  <c r="F32" s="1"/>
  <c r="G29"/>
  <c r="G23" i="25"/>
  <c r="G18"/>
  <c r="F39" i="4"/>
  <c r="H39" s="1"/>
  <c r="H61" i="5"/>
  <c r="H51"/>
  <c r="F50"/>
  <c r="H50" s="1"/>
  <c r="H37"/>
  <c r="F34"/>
  <c r="F24"/>
  <c r="E24"/>
  <c r="E61" i="4"/>
  <c r="G61" i="2"/>
  <c r="E61"/>
  <c r="G100"/>
  <c r="E100"/>
  <c r="C22" i="20"/>
  <c r="H48" i="5"/>
  <c r="K32" i="11"/>
  <c r="G76" i="8"/>
  <c r="L21"/>
  <c r="G75" i="14"/>
  <c r="L51" i="10"/>
  <c r="F37"/>
  <c r="G37"/>
  <c r="L14" i="22"/>
  <c r="L22"/>
  <c r="U22"/>
  <c r="U29"/>
  <c r="D30"/>
  <c r="D31" s="1"/>
  <c r="V23"/>
  <c r="V24"/>
  <c r="V5"/>
  <c r="V6"/>
  <c r="V7"/>
  <c r="V8"/>
  <c r="V9"/>
  <c r="V10"/>
  <c r="V11"/>
  <c r="V12"/>
  <c r="V13"/>
  <c r="G94" i="14"/>
  <c r="G214" i="2"/>
  <c r="G203" s="1"/>
  <c r="E214"/>
  <c r="E203" s="1"/>
  <c r="E127"/>
  <c r="G152"/>
  <c r="E152"/>
  <c r="E151" s="1"/>
  <c r="G127"/>
  <c r="E15"/>
  <c r="G15"/>
  <c r="G24"/>
  <c r="G862" i="14"/>
  <c r="L70" i="8"/>
  <c r="G92"/>
  <c r="J92"/>
  <c r="B33" i="7" s="1"/>
  <c r="H46" i="8"/>
  <c r="H92" s="1"/>
  <c r="L44"/>
  <c r="L27"/>
  <c r="L61"/>
  <c r="L15"/>
  <c r="F46"/>
  <c r="L88"/>
  <c r="L57"/>
  <c r="L31"/>
  <c r="F31"/>
  <c r="H21" i="5"/>
  <c r="H35"/>
  <c r="G90" i="2"/>
  <c r="F10" i="4"/>
  <c r="F61"/>
  <c r="E10"/>
  <c r="F12" i="25"/>
  <c r="H59" i="5"/>
  <c r="H29"/>
  <c r="G508" i="14"/>
  <c r="G78"/>
  <c r="G487"/>
  <c r="G905"/>
  <c r="G158"/>
  <c r="G59"/>
  <c r="F18" i="18"/>
  <c r="F20" i="21"/>
  <c r="F104" i="27"/>
  <c r="E32" i="11"/>
  <c r="U30" i="22" l="1"/>
  <c r="V22"/>
  <c r="F25" i="18"/>
  <c r="F56" i="27"/>
  <c r="F58"/>
  <c r="F14"/>
  <c r="F51"/>
  <c r="L74" i="10"/>
  <c r="L30"/>
  <c r="L29" i="11"/>
  <c r="D32"/>
  <c r="L11"/>
  <c r="L32"/>
  <c r="F131" i="4"/>
  <c r="E131"/>
  <c r="H16"/>
  <c r="H17"/>
  <c r="H14"/>
  <c r="H62"/>
  <c r="H64"/>
  <c r="H66"/>
  <c r="H88"/>
  <c r="H104"/>
  <c r="G16" i="25"/>
  <c r="G13"/>
  <c r="G12"/>
  <c r="E58" i="5"/>
  <c r="E63" s="1"/>
  <c r="H25"/>
  <c r="H12"/>
  <c r="G186" i="2"/>
  <c r="E186"/>
  <c r="G111"/>
  <c r="E111"/>
  <c r="E10"/>
  <c r="G10"/>
  <c r="B31" i="7"/>
  <c r="B32"/>
  <c r="L76" i="8"/>
  <c r="L38"/>
  <c r="L11"/>
  <c r="H160" i="2"/>
  <c r="H197"/>
  <c r="H91"/>
  <c r="H73"/>
  <c r="H225"/>
  <c r="H76"/>
  <c r="H56"/>
  <c r="G734" i="14"/>
  <c r="F231"/>
  <c r="U14" i="22"/>
  <c r="V17"/>
  <c r="V18"/>
  <c r="V19"/>
  <c r="V20"/>
  <c r="V21"/>
  <c r="F30"/>
  <c r="F31" s="1"/>
  <c r="E640" i="14"/>
  <c r="G167"/>
  <c r="G25"/>
  <c r="G761"/>
  <c r="G923"/>
  <c r="G495"/>
  <c r="G530"/>
  <c r="G357"/>
  <c r="G729"/>
  <c r="F914"/>
  <c r="F175"/>
  <c r="G175" s="1"/>
  <c r="G755"/>
  <c r="G802"/>
  <c r="G896"/>
  <c r="G901"/>
  <c r="G839"/>
  <c r="G912"/>
  <c r="G584"/>
  <c r="F116"/>
  <c r="G226"/>
  <c r="E914"/>
  <c r="F733"/>
  <c r="E904"/>
  <c r="G83"/>
  <c r="V14" i="22"/>
  <c r="U31"/>
  <c r="G522" i="14"/>
  <c r="G825"/>
  <c r="G590"/>
  <c r="G125"/>
  <c r="G513"/>
  <c r="G485"/>
  <c r="G871"/>
  <c r="F361"/>
  <c r="E361"/>
  <c r="G225"/>
  <c r="G853"/>
  <c r="F276"/>
  <c r="G183"/>
  <c r="G117"/>
  <c r="G15"/>
  <c r="G16"/>
  <c r="F640"/>
  <c r="G640" s="1"/>
  <c r="G700"/>
  <c r="G641"/>
  <c r="G382"/>
  <c r="F253"/>
  <c r="E231"/>
  <c r="E91"/>
  <c r="G254"/>
  <c r="G232"/>
  <c r="G96"/>
  <c r="G616"/>
  <c r="G648"/>
  <c r="G697"/>
  <c r="G915"/>
  <c r="G780"/>
  <c r="G569"/>
  <c r="G544"/>
  <c r="G481"/>
  <c r="G731"/>
  <c r="G646"/>
  <c r="G406"/>
  <c r="G267"/>
  <c r="E116"/>
  <c r="G18"/>
  <c r="G9"/>
  <c r="E384"/>
  <c r="E895"/>
  <c r="E779" s="1"/>
  <c r="F895"/>
  <c r="F475"/>
  <c r="G475" s="1"/>
  <c r="G476"/>
  <c r="E70"/>
  <c r="E69" s="1"/>
  <c r="G176"/>
  <c r="G221"/>
  <c r="G36"/>
  <c r="G251"/>
  <c r="G274"/>
  <c r="G453"/>
  <c r="F543"/>
  <c r="G712"/>
  <c r="G909"/>
  <c r="G121"/>
  <c r="G315"/>
  <c r="G337"/>
  <c r="G362"/>
  <c r="G71"/>
  <c r="G385"/>
  <c r="F35"/>
  <c r="F34" s="1"/>
  <c r="E35"/>
  <c r="E34" s="1"/>
  <c r="E8"/>
  <c r="G173"/>
  <c r="E253"/>
  <c r="E711"/>
  <c r="G711" s="1"/>
  <c r="G824"/>
  <c r="F70"/>
  <c r="F69" s="1"/>
  <c r="F904"/>
  <c r="G904" s="1"/>
  <c r="G594"/>
  <c r="E593"/>
  <c r="G593" s="1"/>
  <c r="G13"/>
  <c r="G277"/>
  <c r="G276"/>
  <c r="G918"/>
  <c r="F384"/>
  <c r="G517"/>
  <c r="G586"/>
  <c r="G431"/>
  <c r="G898"/>
  <c r="G497"/>
  <c r="F8"/>
  <c r="G460"/>
  <c r="E733"/>
  <c r="G297"/>
  <c r="F696"/>
  <c r="G231"/>
  <c r="G92"/>
  <c r="F91"/>
  <c r="G91" s="1"/>
  <c r="G24"/>
  <c r="G11"/>
  <c r="G32" i="11"/>
  <c r="H32"/>
  <c r="I78" i="10"/>
  <c r="K78"/>
  <c r="J78"/>
  <c r="G78"/>
  <c r="D92" i="8"/>
  <c r="K92"/>
  <c r="F92"/>
  <c r="E92"/>
  <c r="G15" i="25"/>
  <c r="F58" i="5"/>
  <c r="H34"/>
  <c r="H24"/>
  <c r="H27"/>
  <c r="H20"/>
  <c r="F164" i="4"/>
  <c r="H164" s="1"/>
  <c r="H165"/>
  <c r="H161"/>
  <c r="H159"/>
  <c r="H155"/>
  <c r="H150"/>
  <c r="H145"/>
  <c r="H138"/>
  <c r="H131"/>
  <c r="H132"/>
  <c r="H110"/>
  <c r="H125"/>
  <c r="H118"/>
  <c r="H111"/>
  <c r="F106"/>
  <c r="H106" s="1"/>
  <c r="H107"/>
  <c r="H97"/>
  <c r="H77"/>
  <c r="H73"/>
  <c r="H61"/>
  <c r="H70"/>
  <c r="H68"/>
  <c r="H58"/>
  <c r="F51"/>
  <c r="H52"/>
  <c r="H40"/>
  <c r="F31"/>
  <c r="H31" s="1"/>
  <c r="H32"/>
  <c r="F20"/>
  <c r="H20" s="1"/>
  <c r="H21"/>
  <c r="H10"/>
  <c r="H11"/>
  <c r="H15" i="2"/>
  <c r="H127"/>
  <c r="H186"/>
  <c r="H90"/>
  <c r="H195"/>
  <c r="H187"/>
  <c r="H181"/>
  <c r="H109"/>
  <c r="H107"/>
  <c r="H105"/>
  <c r="G75"/>
  <c r="H75" s="1"/>
  <c r="H64"/>
  <c r="H62"/>
  <c r="H52"/>
  <c r="H22"/>
  <c r="H21"/>
  <c r="H19"/>
  <c r="H16"/>
  <c r="H136"/>
  <c r="H25"/>
  <c r="H88"/>
  <c r="H226"/>
  <c r="H222"/>
  <c r="H175"/>
  <c r="H112"/>
  <c r="H163"/>
  <c r="H189"/>
  <c r="H204"/>
  <c r="H203"/>
  <c r="H214"/>
  <c r="H209"/>
  <c r="G151"/>
  <c r="H151" s="1"/>
  <c r="H152"/>
  <c r="H149"/>
  <c r="H145"/>
  <c r="H146"/>
  <c r="H116"/>
  <c r="H100"/>
  <c r="H101"/>
  <c r="H97"/>
  <c r="G78"/>
  <c r="H78" s="1"/>
  <c r="H81"/>
  <c r="H70"/>
  <c r="H61"/>
  <c r="G51"/>
  <c r="H51" s="1"/>
  <c r="H54"/>
  <c r="G41"/>
  <c r="H41" s="1"/>
  <c r="H42"/>
  <c r="H28"/>
  <c r="H29"/>
  <c r="H24"/>
  <c r="H10"/>
  <c r="H11"/>
  <c r="E104" i="27"/>
  <c r="F93"/>
  <c r="F12"/>
  <c r="F88"/>
  <c r="F89"/>
  <c r="F90"/>
  <c r="F91"/>
  <c r="F92"/>
  <c r="H39" i="5"/>
  <c r="H40"/>
  <c r="H143" i="2"/>
  <c r="H72" i="4"/>
  <c r="E51"/>
  <c r="F144"/>
  <c r="E144"/>
  <c r="G23" i="26"/>
  <c r="B34" i="7"/>
  <c r="D78" i="10"/>
  <c r="L13"/>
  <c r="L11"/>
  <c r="F230" i="14" l="1"/>
  <c r="G361"/>
  <c r="F167" i="4"/>
  <c r="E167"/>
  <c r="H58" i="5"/>
  <c r="F63"/>
  <c r="H63" s="1"/>
  <c r="H111" i="2"/>
  <c r="E228"/>
  <c r="E696" i="14"/>
  <c r="G507"/>
  <c r="G914"/>
  <c r="G542"/>
  <c r="G696"/>
  <c r="G253"/>
  <c r="G116"/>
  <c r="G529"/>
  <c r="G69"/>
  <c r="G70"/>
  <c r="G384"/>
  <c r="G34"/>
  <c r="G543"/>
  <c r="G8"/>
  <c r="G895"/>
  <c r="G35"/>
  <c r="G733"/>
  <c r="G852"/>
  <c r="F779"/>
  <c r="B3" i="7"/>
  <c r="L92" i="8"/>
  <c r="B35" i="7"/>
  <c r="G26" i="25"/>
  <c r="H144" i="4"/>
  <c r="H51"/>
  <c r="G228" i="2"/>
  <c r="H167" i="4" l="1"/>
  <c r="H228" i="2"/>
  <c r="G779" i="14"/>
  <c r="E927"/>
  <c r="G230"/>
  <c r="F927"/>
  <c r="G927" l="1"/>
  <c r="L61" i="10"/>
  <c r="E58"/>
  <c r="L58" s="1"/>
  <c r="F58"/>
  <c r="F78" s="1"/>
  <c r="E78" l="1"/>
  <c r="L78" s="1"/>
  <c r="V29" i="22"/>
  <c r="L30"/>
  <c r="L31" s="1"/>
  <c r="V30" l="1"/>
  <c r="V31" s="1"/>
</calcChain>
</file>

<file path=xl/sharedStrings.xml><?xml version="1.0" encoding="utf-8"?>
<sst xmlns="http://schemas.openxmlformats.org/spreadsheetml/2006/main" count="2744" uniqueCount="639">
  <si>
    <t xml:space="preserve">DOTACJE </t>
  </si>
  <si>
    <t>SUBWENCJE</t>
  </si>
  <si>
    <t>DOCHODY WŁASNE</t>
  </si>
  <si>
    <t>Załącznik Nr 1</t>
  </si>
  <si>
    <t>Dochody budżetu Powiatu Białogardzkiego</t>
  </si>
  <si>
    <t>(ogółem)</t>
  </si>
  <si>
    <t>w zł</t>
  </si>
  <si>
    <t>Dział</t>
  </si>
  <si>
    <t>Rozdz.</t>
  </si>
  <si>
    <t>§</t>
  </si>
  <si>
    <t>Nazwa podziałki klasyfikacji budżetowej</t>
  </si>
  <si>
    <t>Plan</t>
  </si>
  <si>
    <t>Wykonanie</t>
  </si>
  <si>
    <t>%</t>
  </si>
  <si>
    <t>010</t>
  </si>
  <si>
    <t>Rolnictwo i łowiectwo</t>
  </si>
  <si>
    <t xml:space="preserve"> </t>
  </si>
  <si>
    <t>01005</t>
  </si>
  <si>
    <t>Prace geodezyjno-urządzeniowe na potrzeby rolnictwa</t>
  </si>
  <si>
    <t>Dot.cel.otrzymane z budżetu państwa na zad. bieżące z zakresu adm. rządowej oraz inne zad. zlecone ustawami realiz.przez powiat</t>
  </si>
  <si>
    <t>01008</t>
  </si>
  <si>
    <t>Melioracje wodne</t>
  </si>
  <si>
    <t>Dochody jednostek samorządu terytorialnego związane z realizacją zadań z zakresu administracji rządowej oraz innych zadań zleconych ustawami</t>
  </si>
  <si>
    <t>020</t>
  </si>
  <si>
    <t>Leśnictwo</t>
  </si>
  <si>
    <t>02001</t>
  </si>
  <si>
    <t>Gospodarka leśna</t>
  </si>
  <si>
    <t>0970</t>
  </si>
  <si>
    <t>Wpływy z różnych dochodów</t>
  </si>
  <si>
    <t>Środki otrzymane od pozost. jednostek zalicz. do sektora fin. publ. na realizację zadań bieżących jedn. zaliczanych do sektora finansów publ.</t>
  </si>
  <si>
    <t>02002</t>
  </si>
  <si>
    <t>0750</t>
  </si>
  <si>
    <t>Dochody z najmu i dzierżawy składników jednostek samorządu terytorialnego lub innych jednostek zaliczanych do sektora finansów publicznych oraz innych umów o podobnym charakterze</t>
  </si>
  <si>
    <t>Przetwórstwo przemysłowe</t>
  </si>
  <si>
    <t>Rozwój przedsiębiorczości</t>
  </si>
  <si>
    <t>Dotacje celowe otrzymane z budżetu państwa na realizacje inwestycji i zakupów inwestycyjnych własnych powiatu</t>
  </si>
  <si>
    <t>Transport i łączność</t>
  </si>
  <si>
    <t>Drogi publiczne powiatowe</t>
  </si>
  <si>
    <t>0690</t>
  </si>
  <si>
    <t>Wpływy z różnych opłat</t>
  </si>
  <si>
    <t>0830</t>
  </si>
  <si>
    <t>Wpływy z usług</t>
  </si>
  <si>
    <t>0920</t>
  </si>
  <si>
    <t>Pozostałe odsetki</t>
  </si>
  <si>
    <t>Gospodarka mieszkaniowa</t>
  </si>
  <si>
    <t>Gospodarka gruntami i nieruchomościami</t>
  </si>
  <si>
    <t>0470</t>
  </si>
  <si>
    <t>Wpływy z opłat za zarząd, użytkowanie i użytkowanie wieczyste nieruchomości</t>
  </si>
  <si>
    <t>0770</t>
  </si>
  <si>
    <t>Wpłaty z tytułu odpłatnego nabycia prawa własności nieruchomości</t>
  </si>
  <si>
    <t>Działalność usługowa</t>
  </si>
  <si>
    <t>Opracowania geodezyjne i kartograficzne</t>
  </si>
  <si>
    <t>Nadzór budowlany</t>
  </si>
  <si>
    <t>Administracja publiczna</t>
  </si>
  <si>
    <t>Urzędy wojewódzkie</t>
  </si>
  <si>
    <t>Rady powiatów</t>
  </si>
  <si>
    <t>Starostwa powiatowe</t>
  </si>
  <si>
    <t>0420</t>
  </si>
  <si>
    <t>Wpływy z opłaty komunikacyjnej</t>
  </si>
  <si>
    <t>0870</t>
  </si>
  <si>
    <t>Dotacje otrzymane z funduszy celowych na realizację zadań bieżących jednostek sektora finansów publicznych</t>
  </si>
  <si>
    <t>Urzędy naczelnych organów władzy państwowej, kontroli i ochrony prawa oraz sądownictwa</t>
  </si>
  <si>
    <t>Wybory do rad gmin, rad powiatów i sejmików województw, wybory wójtów, burmistrzów i prezydentów</t>
  </si>
  <si>
    <t>Bezpieczeństwo publiczne i ochrona przeciwpożarowa</t>
  </si>
  <si>
    <t>Komendy powiatowe Państwowej Straży Pożarnej</t>
  </si>
  <si>
    <t>0010</t>
  </si>
  <si>
    <t>Podatek dochodowy od osób fizycznych</t>
  </si>
  <si>
    <t>0020</t>
  </si>
  <si>
    <t>Podatek dochodowy od osób prawnych</t>
  </si>
  <si>
    <t>Różne rozliczenia</t>
  </si>
  <si>
    <t>Część oświatowa subwencji ogólnej dla jednostek samorządu terytorialnego</t>
  </si>
  <si>
    <t>Subwencje ogólne z budżetu państwa</t>
  </si>
  <si>
    <t>Uzupełnienie subwencji ogólnej dla jednostek samorządu terytorialnego</t>
  </si>
  <si>
    <t>Środki na uzupełnienie dochodów powiatów</t>
  </si>
  <si>
    <t>Część wyrównawcza subwencji ogólnej dla powiatów</t>
  </si>
  <si>
    <t>Część równoważąca subwencji ogólnej dla powiatów</t>
  </si>
  <si>
    <t>Oświata i wychowanie</t>
  </si>
  <si>
    <t>Szkoły podstawowe specjalne</t>
  </si>
  <si>
    <t>Gimnazja specjalne</t>
  </si>
  <si>
    <t>Licea ogólnokształcące</t>
  </si>
  <si>
    <t>0900</t>
  </si>
  <si>
    <t>Odsetki od dotacji wykorzystanych niezgodnie z przeznaczeniem lub pobranych w nadmiernej wysokości</t>
  </si>
  <si>
    <t>0960</t>
  </si>
  <si>
    <t>Otrzymane spadki, zapisy i darowizny w postaci pieniężnej</t>
  </si>
  <si>
    <t>Wpływy ze zwrotów dotacji wykorzystanych niezgodnie z przeznaczeniem lub pobranych w nadmiernej wysokości</t>
  </si>
  <si>
    <t>Licea profilowane</t>
  </si>
  <si>
    <t>Szkoły zawodowe</t>
  </si>
  <si>
    <t>0840</t>
  </si>
  <si>
    <t>Pozostała działalność</t>
  </si>
  <si>
    <t>Dotacje celowe otrzymane z budżetu państwa na realizację bieżących zadań własnych powiatu</t>
  </si>
  <si>
    <t>Dotacje celowe otrzymane z powiatu na zadania bieżące realizowane na podstawie porozumień (umów) między jednostkami samorządu terytorialnego</t>
  </si>
  <si>
    <t>Ochrona zdrowia</t>
  </si>
  <si>
    <t>Szpitale ogólne</t>
  </si>
  <si>
    <t>Składki na ubezpieczenie zdrowotne oraz świadczenia dla osób nieobjętych obowiązkiem ubezpieczenia zdrowotnego</t>
  </si>
  <si>
    <t>Pomoc społeczna</t>
  </si>
  <si>
    <t>Placówki opiekuńczo-wychowawcze</t>
  </si>
  <si>
    <t>0570</t>
  </si>
  <si>
    <t>Domy pomocy społecznej</t>
  </si>
  <si>
    <t>Ośrodki wsparcia</t>
  </si>
  <si>
    <t>Wpływy ze sprzedaży wyrobów</t>
  </si>
  <si>
    <t>Rodziny zastępcze</t>
  </si>
  <si>
    <t>Powiatowe centra pomocy rodzinie</t>
  </si>
  <si>
    <t>Pozostałe zadania w zakresie polityki społecznej</t>
  </si>
  <si>
    <t>Powiatowe urzędy pracy</t>
  </si>
  <si>
    <t>Pomoc dla repatriantów</t>
  </si>
  <si>
    <t>Edukacyjna opieka wychowawcza</t>
  </si>
  <si>
    <t>Poradnie psychologiczno-pedagogiczne, w tym poradnie specjalistyczne</t>
  </si>
  <si>
    <t>Placówki wychowania pozaszkolnego</t>
  </si>
  <si>
    <t>Internaty i bursy szkolne</t>
  </si>
  <si>
    <t>Pomoc materialna dla uczniów</t>
  </si>
  <si>
    <t>Młodzieżowe ośrodki wychowawcze</t>
  </si>
  <si>
    <t>Razem</t>
  </si>
  <si>
    <t>Załącznik Nr 2</t>
  </si>
  <si>
    <t>Załącznik Nr 3</t>
  </si>
  <si>
    <t xml:space="preserve">  związane z realizacją zadań z zakresu administracji rządowej oraz innych zadań zleconych ustawami</t>
  </si>
  <si>
    <t>Zespoły do spraw orzekania o niepełnosprawności</t>
  </si>
  <si>
    <t>0910</t>
  </si>
  <si>
    <t>Dochody z najmu i dzierżawy składników majątkowych Skarbu Państwa, jednostek samorządu terytorialnego lub innych jednostek zaliczanych do sektora finansów publicznych oraz innych umów o podobnym charakterze</t>
  </si>
  <si>
    <t>Wpłaty z tytułu odpłatnego nabycia prawa własności oraz prawa użytkowania wieczystego nieruchomości</t>
  </si>
  <si>
    <t>Załącznik Nr 4</t>
  </si>
  <si>
    <t>WYDATKI BIEŻĄCE</t>
  </si>
  <si>
    <t>WYDATKI MAJĄTKOWE</t>
  </si>
  <si>
    <t>DOTACJE</t>
  </si>
  <si>
    <t>WYDATKI NA OBSŁUGĘ DŁUGU</t>
  </si>
  <si>
    <t>POZOSTAŁE</t>
  </si>
  <si>
    <t>Załącznik Nr 5</t>
  </si>
  <si>
    <t>Wydatki budżetu Powiatu Białogardzkiego</t>
  </si>
  <si>
    <t>Rozdz</t>
  </si>
  <si>
    <t>Plan wydatków ogółem</t>
  </si>
  <si>
    <t>% wykonania do planu</t>
  </si>
  <si>
    <t>Wydatki bieżące</t>
  </si>
  <si>
    <t>Wydatki majątkowe</t>
  </si>
  <si>
    <t>Ogółem</t>
  </si>
  <si>
    <t>w tym</t>
  </si>
  <si>
    <t>Dotacje</t>
  </si>
  <si>
    <t>Wydatki na obsługę długu</t>
  </si>
  <si>
    <t>Nadzór nad gospodarką leśną</t>
  </si>
  <si>
    <t>Promocja jednostek samorządu terytorialnego</t>
  </si>
  <si>
    <t>Komendy powiat. Państwowej Straży Pożarnej</t>
  </si>
  <si>
    <t>Obsługa długu publicznego</t>
  </si>
  <si>
    <t>Obsługa papierów wartościowych, kredytów i pożyczek j.s.t</t>
  </si>
  <si>
    <t>Dokształcanie i doskonalenie nauczycieli</t>
  </si>
  <si>
    <t>Pozostałe  zadania w zakresie polityki społecznej</t>
  </si>
  <si>
    <t>Kultura i ochrona dziedzictwa narodowego</t>
  </si>
  <si>
    <t>Pozostałe zadania w zakresie kultury</t>
  </si>
  <si>
    <t>Kultura fizyczna i sport</t>
  </si>
  <si>
    <t>Zadania w zakresie kultury fizycznej i sportu</t>
  </si>
  <si>
    <t>Załącznik Nr 6</t>
  </si>
  <si>
    <t>związane z realizacją zadań własnych</t>
  </si>
  <si>
    <t>Załącznik Nr 7</t>
  </si>
  <si>
    <t>związane z realizacją zadań z zakresu administracji rządowej oraz innych zadań zleconych ustawami</t>
  </si>
  <si>
    <t>Załącznik Nr 8</t>
  </si>
  <si>
    <t>Rozdział</t>
  </si>
  <si>
    <t>Załącznik Nr 9</t>
  </si>
  <si>
    <t xml:space="preserve">związane z realizacją zadań realizowanych w drodze umów lub porozumień </t>
  </si>
  <si>
    <t>WYKONANIE WYDATKÓW POWIATU BIAŁOGARDZKIEGO</t>
  </si>
  <si>
    <t>Treść</t>
  </si>
  <si>
    <t>Plan po zmianach</t>
  </si>
  <si>
    <t xml:space="preserve"> Wykonanie   wydatków </t>
  </si>
  <si>
    <t>% wykonania</t>
  </si>
  <si>
    <t>6</t>
  </si>
  <si>
    <t>Zakup usług pozostałych</t>
  </si>
  <si>
    <t>Koszty postępowania sądowego i prokuratorskiego</t>
  </si>
  <si>
    <t>Różne wydatki na rzecz osób fizycznych</t>
  </si>
  <si>
    <t>Podatek od towarów i usług (VAT)</t>
  </si>
  <si>
    <t>Wydatki inwestycyjne jednostek budżetowych</t>
  </si>
  <si>
    <t>Wydatki osobowe niezaliczone do wynagrodzeń</t>
  </si>
  <si>
    <t>Wynagrodzenia osobowe pracowników</t>
  </si>
  <si>
    <t>Dodatkowe wynagrodzenie roczne</t>
  </si>
  <si>
    <t>Składki na ubezpieczenia społeczne</t>
  </si>
  <si>
    <t>Wynagrodzenia bezosobowe</t>
  </si>
  <si>
    <t>Zakup materiałów i wyposażenia</t>
  </si>
  <si>
    <t>Zakup energii</t>
  </si>
  <si>
    <t>Zakup usług remontowych</t>
  </si>
  <si>
    <t>Zakup usług zdrowotnych</t>
  </si>
  <si>
    <t>Zakup usług dostępu do sieci Internet</t>
  </si>
  <si>
    <t>Podróże służbowe krajowe</t>
  </si>
  <si>
    <t>Różne opłaty i składki</t>
  </si>
  <si>
    <t>Podatek od nieruchomości</t>
  </si>
  <si>
    <t>Opłaty na rzecz budżetów JST</t>
  </si>
  <si>
    <t>Opłaty na rzecz budżetu państwa</t>
  </si>
  <si>
    <t>Prace geodezyj.i kartogr.(nieinwestycyjne)</t>
  </si>
  <si>
    <t>Wynagrodzenia osobowe członków korpusu służby cywilnej</t>
  </si>
  <si>
    <t>Podróże służbowe zagraniczne</t>
  </si>
  <si>
    <t>Wydatki na zakupy inwestycyjne jednostek budżetowych</t>
  </si>
  <si>
    <t>Wpłaty gmin i powiatów na rzecz innych jednostek samorządu terytorialnego oraz związków gmin lub związków powiatów na dofinansowanie zadań inwestycyjnych i zakupów inwestycyjnych</t>
  </si>
  <si>
    <t>Bezpieczeństwo publiczne i ochr.przeciwpożar.</t>
  </si>
  <si>
    <t>Komendy powiat.Państwowej Straży Pożarnej</t>
  </si>
  <si>
    <t>Wydatki osobowe nie zaliczone do uposażeń wypłacane żołnierzom i funkcjonariuszom</t>
  </si>
  <si>
    <t>Równoważniki pieniężne i ekwiwalenty dla żołnierzy i funkcjonariuszy</t>
  </si>
  <si>
    <t xml:space="preserve">Licea profilowane </t>
  </si>
  <si>
    <t>Składki na Fundusz Pracy</t>
  </si>
  <si>
    <t>Stypendia dla uczniów</t>
  </si>
  <si>
    <t>Starostwo Powiatowe</t>
  </si>
  <si>
    <t>Składki na ubezp.zdrow.oraz świadczenia dla os.nieobjętych obow. ubezp. zdrowot.</t>
  </si>
  <si>
    <t>Dotacja celowa z budżetu na finansowanie lub dofinansowanie zadań zleconych do realizacji stowarzyszeniom</t>
  </si>
  <si>
    <t>Świadczenia społeczne</t>
  </si>
  <si>
    <t>Zakup środków żywności</t>
  </si>
  <si>
    <t>Zakup usług dostepu do sieci Internet</t>
  </si>
  <si>
    <t>Dotacje celowe przekazane dla powiatu na zadania bieżące realizowane na podstawie porozumień (umów) między jst</t>
  </si>
  <si>
    <t>Zespoły ds. orzekania o  niepełnosprawności</t>
  </si>
  <si>
    <t xml:space="preserve">Świadczenia społeczne </t>
  </si>
  <si>
    <t>Powiatowe Centrum Pomocy Rodzinie</t>
  </si>
  <si>
    <t>Powiatowy Urząd Pracy</t>
  </si>
  <si>
    <t>LO Białogard</t>
  </si>
  <si>
    <t>ZSP Białogard</t>
  </si>
  <si>
    <t>ZSP Karlino</t>
  </si>
  <si>
    <t>ZSP Tychowo</t>
  </si>
  <si>
    <t>razem</t>
  </si>
  <si>
    <t>Wykonanie wydatków budżetu Powiatu Białogardzkiego</t>
  </si>
  <si>
    <t>według paragrafów</t>
  </si>
  <si>
    <t xml:space="preserve">§ </t>
  </si>
  <si>
    <t>Nazwa</t>
  </si>
  <si>
    <t>Struktura wykonania</t>
  </si>
  <si>
    <t>Wynagrodzenia osobowe pracowników (finansowanie ze środków funduszy strukturalnych)</t>
  </si>
  <si>
    <t>Składki na ubezpieczenia społeczne (finansowanie ze środków funduszy strukturalnych)</t>
  </si>
  <si>
    <t>Składki na Fundusz Pracy (współfinansowanie ze środków funduszy strukturalnych)</t>
  </si>
  <si>
    <t>Składki na ubezpieczenie zdrowotne</t>
  </si>
  <si>
    <t>Wpłaty na Państwowy Fundusz Rehabilitacji Osób Niepełnosprawnych</t>
  </si>
  <si>
    <t>Wynagrodzenia bezosobowe (finansowanie ze środków funduszy strukturalnych)</t>
  </si>
  <si>
    <t>Zakup materiałów i wyposażenia (finansowanie ze środków funduszy strukturalnych)</t>
  </si>
  <si>
    <t>Zakup usług pozostałych (finansowanie ze środków funduszy strukturalnych)</t>
  </si>
  <si>
    <t>Zakup usług pozostałych (współfinansowanie ze środków funduszy strukturalnych)</t>
  </si>
  <si>
    <t>Podróże służbowe krajowe (finansowanie ze środków funduszy strukturalnych)</t>
  </si>
  <si>
    <t>Dotacje celowe z budżetu na finansowanie lub dofinansowanie kosztów realizacji inwestycji i zakupów inwestycyjnych innych jednostek sektora finansów publicznych</t>
  </si>
  <si>
    <t>Powiatu Białogardzkiego</t>
  </si>
  <si>
    <t>Jednostka organizacyjna realizująca program lub koordynująca wykonywanie programu</t>
  </si>
  <si>
    <t>Okres realizacji</t>
  </si>
  <si>
    <t>Rok rozpoczęcia</t>
  </si>
  <si>
    <t>Rok zakończenia</t>
  </si>
  <si>
    <t>Wydatki Powiatu Białogardzkiego</t>
  </si>
  <si>
    <t>na programy i projekty realizowane ze środków przedakcesyjnych, funduszy strukturalnych, Funduszu Spójności</t>
  </si>
  <si>
    <t>Młodzieżowy Ośrodek Wychowawczy w Podborsku</t>
  </si>
  <si>
    <t>RAZEM</t>
  </si>
  <si>
    <t xml:space="preserve">do uchwały Nr..... </t>
  </si>
  <si>
    <t>Rady Powiatu w Białogardzie</t>
  </si>
  <si>
    <t>z dnia....................</t>
  </si>
  <si>
    <t>Przychody i wydatki Powiatowego Funduszu Gospodarki Zasobem Geodezyjnym i Kartograficznym</t>
  </si>
  <si>
    <t>Lp.</t>
  </si>
  <si>
    <t>Paragrafy</t>
  </si>
  <si>
    <t xml:space="preserve">Plan </t>
  </si>
  <si>
    <t>I</t>
  </si>
  <si>
    <t>Stan funduszu na początek roku</t>
  </si>
  <si>
    <t>x</t>
  </si>
  <si>
    <t xml:space="preserve">1. </t>
  </si>
  <si>
    <t>- środki pieniężne</t>
  </si>
  <si>
    <t>2.</t>
  </si>
  <si>
    <t>- należności</t>
  </si>
  <si>
    <t>3.</t>
  </si>
  <si>
    <t>- zobowiązania (minus)</t>
  </si>
  <si>
    <t>II</t>
  </si>
  <si>
    <t>Przychody</t>
  </si>
  <si>
    <t>1.</t>
  </si>
  <si>
    <t>4.</t>
  </si>
  <si>
    <t>Przelewy redystrybucyjne</t>
  </si>
  <si>
    <t xml:space="preserve">III </t>
  </si>
  <si>
    <t>Wydatki</t>
  </si>
  <si>
    <t>5.</t>
  </si>
  <si>
    <t>6.</t>
  </si>
  <si>
    <t xml:space="preserve">Zakup usług pozostałych </t>
  </si>
  <si>
    <t>7.</t>
  </si>
  <si>
    <t>IV</t>
  </si>
  <si>
    <t>Stan funduszu na koniec roku</t>
  </si>
  <si>
    <t>Załącznik Nr 15</t>
  </si>
  <si>
    <t>Dotacje przekazane z funduszy celowych na realizację zadań bieżących dla jednostek sektora finansów publicznych</t>
  </si>
  <si>
    <t>Załącznik Nr 16</t>
  </si>
  <si>
    <t>Przychody i rozchody</t>
  </si>
  <si>
    <t>związane z finansowaniem niedoboru</t>
  </si>
  <si>
    <t>i rozdysponowaniem nadwyżki</t>
  </si>
  <si>
    <t>Wyszczególnienie</t>
  </si>
  <si>
    <t>A</t>
  </si>
  <si>
    <t>B</t>
  </si>
  <si>
    <t>C</t>
  </si>
  <si>
    <t>Nadwyżka/Deficyt (A-B)</t>
  </si>
  <si>
    <t>D</t>
  </si>
  <si>
    <t>Finansowanie (D1-D2)</t>
  </si>
  <si>
    <t>D1</t>
  </si>
  <si>
    <t>Przychody ogółem</t>
  </si>
  <si>
    <t>z tego:</t>
  </si>
  <si>
    <t>- kredyt inwestycyjny</t>
  </si>
  <si>
    <t>D2</t>
  </si>
  <si>
    <t>Rozchody ogółem</t>
  </si>
  <si>
    <t>- spłaty kredytów i pożyczek</t>
  </si>
  <si>
    <t>- wykup obligacji samorządowych</t>
  </si>
  <si>
    <t>Dotacje celowe otrzymane z budżetu państwa na zadania bieżące z zakresu administracji rządowej oraz inne zadania zlecone ustawami realizowane przez powiat i na realizacje bieżących zadań własnych powiatu - zwrócone do Zachodniopomorskiego Urzędu Wojewódzkiego w Szczecinie</t>
  </si>
  <si>
    <t>Paragraf</t>
  </si>
  <si>
    <t>Kwota zwróconej dotacji</t>
  </si>
  <si>
    <t xml:space="preserve">DZIAŁ 801 </t>
  </si>
  <si>
    <t>80102 Szkoły podstawowe sprcjalne</t>
  </si>
  <si>
    <t>80011 Gimnazja specjalne</t>
  </si>
  <si>
    <t>80120 Licea ogólnkoształcące</t>
  </si>
  <si>
    <t>80123 Licea profilowane</t>
  </si>
  <si>
    <t>80130 Szkoły zawodowe</t>
  </si>
  <si>
    <t>80146 Dokszt. I dosk. Nauczycieli</t>
  </si>
  <si>
    <t>80195 Pozostała działalność</t>
  </si>
  <si>
    <t>Razem dział 801</t>
  </si>
  <si>
    <t>85406 Poradnie psych-pedagogiczne</t>
  </si>
  <si>
    <t>85407 Placówki wychowania pozaszkolnego</t>
  </si>
  <si>
    <t>85410 Internaty i bursy szkolne</t>
  </si>
  <si>
    <t>85415 Pomoc materialna dla uczniów</t>
  </si>
  <si>
    <t>85420 Młodzieżowe ośrodki wychowawcze</t>
  </si>
  <si>
    <t>85446 Dokształc. i doskonalenie nauczycieli</t>
  </si>
  <si>
    <t>Razem dział 854</t>
  </si>
  <si>
    <t>Zespół Szkół Specjalnych w Białogardzie</t>
  </si>
  <si>
    <t>Zespół Szkół Ponadgimnazjalnych w Białogardzie</t>
  </si>
  <si>
    <t>Zespół Szkół Ponadgimnazjalnych w Tychowie</t>
  </si>
  <si>
    <t>Zespół Szkół Ponadgimnazjalnych w Karlinie</t>
  </si>
  <si>
    <t>Poradnia Psychologiczno-Pedagogiczna w Białogardzie</t>
  </si>
  <si>
    <t>Młodzieżowy Dom Kultury w Białogardzie</t>
  </si>
  <si>
    <t>Razem placówki oświatowe publiczne</t>
  </si>
  <si>
    <t>DZIAŁ803 i 854</t>
  </si>
  <si>
    <t>SZKOŁY NIEPUBLICZNE</t>
  </si>
  <si>
    <t>Ogółem 801+803+854 SZKOŁY NIEPUBLICZNE</t>
  </si>
  <si>
    <t>Prywatne Liceum Profilowane "Scholar"dla młodzieży</t>
  </si>
  <si>
    <t>Prywatne Liceum Profilowane "Scholar"dla dorosłych</t>
  </si>
  <si>
    <t>Prywatne Liceum Ogólnokształcące dla dorosłych "Scholar" po ZSZ</t>
  </si>
  <si>
    <t>Prywatne Studium "Scholar" dla dorosłych</t>
  </si>
  <si>
    <t>RAZEM "SCHOLAR"</t>
  </si>
  <si>
    <t>Policealne Studium Zawodowe</t>
  </si>
  <si>
    <t>Prywatne Liceum Ogólnokształcące dla dorosłych</t>
  </si>
  <si>
    <t>Razem szkoły A.Wojciechowskiej</t>
  </si>
  <si>
    <t xml:space="preserve">Razem </t>
  </si>
  <si>
    <t>Razem placówki oświatowe niepubliczne</t>
  </si>
  <si>
    <t>Razem placówki oświatowe</t>
  </si>
  <si>
    <t>01095</t>
  </si>
  <si>
    <t>0680</t>
  </si>
  <si>
    <t>związane z realizacją zadań realizowanych w drodze umów lub porozumień z jednostkami samorządu terytorialnego</t>
  </si>
  <si>
    <t xml:space="preserve"> z tego</t>
  </si>
  <si>
    <t>8.</t>
  </si>
  <si>
    <t>9.</t>
  </si>
  <si>
    <t>10.</t>
  </si>
  <si>
    <t>Nieruchomości Powiatu</t>
  </si>
  <si>
    <t>Nieruchomości Skarbu Państwa</t>
  </si>
  <si>
    <t>ZSS Białogard</t>
  </si>
  <si>
    <t>MOW Podborsko</t>
  </si>
  <si>
    <t>Prace geodezyjne i kartograficzne (nieinwestycyjne)</t>
  </si>
  <si>
    <t>Dochody od osób prawnych, od osób fizycznych i od innych jednostek nieposiadających osobowości prawnej oraz wydatki związane z ich poborem</t>
  </si>
  <si>
    <t>Udziały powiatów w podatkach stanowiących dochód budżetu państwa</t>
  </si>
  <si>
    <t>Różne rozliczenia finansowe</t>
  </si>
  <si>
    <t>Rehabilitacja zawodowa i społeczna osób niepełnosprawnych</t>
  </si>
  <si>
    <t>Ośrodki rewalidacyjno-wychowawcze</t>
  </si>
  <si>
    <t>Obiekty sportowe</t>
  </si>
  <si>
    <t>Otrzymane spadki, zapisy i darowizny w postaci pienieżnej</t>
  </si>
  <si>
    <t>Odsetki od nieterminowych wpłat z tyt.podatków i opłat</t>
  </si>
  <si>
    <t>Dotacje celowe otrzymane z budżetu państwa na inwestycje i zakupy inwestycyjne z zakresu adm. rządowej oraz inne zadania zlecone ustawami realizowane przez powiat</t>
  </si>
  <si>
    <t>Grzywny, mandaty i inne kary pieniężne od osób fizycznych</t>
  </si>
  <si>
    <t>Dotacje celowe otrzymane z gminy na zadania bieżące realizowane na podstawie porozumień między JST</t>
  </si>
  <si>
    <t>Środki na dofinansowanie własnych zadań bieżących gmin (związków gmin), powiatów (zw.powiatów), samorząd.wojew., pozyskane z innych źródeł</t>
  </si>
  <si>
    <t>Wpływy ze sprzedaży składników majątkowych</t>
  </si>
  <si>
    <t>Dotacje celowe otrzymane z powiatu na zadania bieżące realizowane na podstawie porozumień (umów) między JST</t>
  </si>
  <si>
    <t>Część oświatowa subwencji ogólnej dla JST</t>
  </si>
  <si>
    <t>Ochotnicze straże pożarne</t>
  </si>
  <si>
    <t>Liceum Ogólnokształcące w Białogardzie</t>
  </si>
  <si>
    <t>Rodzinny Dom Dziecka</t>
  </si>
  <si>
    <t>Ośrodek Wspierania Rodziny-Dom pod Świerkiem</t>
  </si>
  <si>
    <t>Poradnia Psychologiczno-Pedagogiczna</t>
  </si>
  <si>
    <t>Młodzieżowy Dom Kultury</t>
  </si>
  <si>
    <t>Zakup pomocy naukowych, dydaktycznych i książek</t>
  </si>
  <si>
    <t>OWR-Dom pod Świerkiem</t>
  </si>
  <si>
    <t>PCPR Białogard</t>
  </si>
  <si>
    <t>Powiatowe Centrum Pomocy Rodzinie w Białogardzie</t>
  </si>
  <si>
    <t>Opłaty z tytułu zakupu usług telekomunikacyjnych telefonii komórkowej</t>
  </si>
  <si>
    <t>Opłaty z tytułu zakupu usług telekomunikacyjnych telefonii stacjonarnej</t>
  </si>
  <si>
    <t>Odpisy na zakładowy fundusz świadczeń socjalnych</t>
  </si>
  <si>
    <t>Kary i odszkodowania wypłacane na rzecz osób fizycznych</t>
  </si>
  <si>
    <t>Szkolenia pracowników niebędących członkami korpusu służby cywilnej</t>
  </si>
  <si>
    <t>Zakup materiałów papierniczych do sprzętu drukarskiego i urządzeń kserograficznych</t>
  </si>
  <si>
    <t>Zakup akcesoriów komputerowych, w tym programów i licencji</t>
  </si>
  <si>
    <t>Opłaty za administrowanie i czynsze za budynki, lokale i pomieszczenia garażowe</t>
  </si>
  <si>
    <t>Zakup usług obejmujących tłumaczenia</t>
  </si>
  <si>
    <t>Uposażenia żołnierzy zawodowych i nadterminowych oraz funkcjonariuszy</t>
  </si>
  <si>
    <t>Pozostałe należności żołnierzy zawodowych i nadterminowych oraz funkcjonariuszy</t>
  </si>
  <si>
    <t>Dodatkowe uposażenie roczne dla żołnierzy zawodowych oraz nagrody roczne dla funkcjonariuszy</t>
  </si>
  <si>
    <t>Pozostałe podatki na rzecz budżetów JST</t>
  </si>
  <si>
    <t>Odsetki i dyskonto od skarbowych papierów wartościowych, kredytów i pożyczek oraz innych instrumentów finansowych, związanych z obsługą długu krajowego</t>
  </si>
  <si>
    <t>Dotacja podmiotowa z budżetu dla niepublicznej jednostki systemu oświaty</t>
  </si>
  <si>
    <t>Zwrot dotacji wykorzystanych niezgodnie z przeznaczeniem lub pobranych w nadmiernej wysokości</t>
  </si>
  <si>
    <r>
      <t>Składki na ubezpieczenie zdrowotne  (</t>
    </r>
    <r>
      <rPr>
        <b/>
        <i/>
        <sz val="8"/>
        <rFont val="Times New Roman"/>
        <family val="1"/>
        <charset val="238"/>
      </rPr>
      <t>OWR</t>
    </r>
    <r>
      <rPr>
        <sz val="8"/>
        <rFont val="Times New Roman"/>
        <family val="1"/>
        <charset val="238"/>
      </rPr>
      <t>)</t>
    </r>
  </si>
  <si>
    <r>
      <t>Składki na ubezpieczenie zdrowotne (</t>
    </r>
    <r>
      <rPr>
        <b/>
        <i/>
        <sz val="8"/>
        <rFont val="Times New Roman"/>
        <family val="1"/>
        <charset val="238"/>
      </rPr>
      <t>PUP</t>
    </r>
    <r>
      <rPr>
        <sz val="8"/>
        <rFont val="Times New Roman"/>
        <family val="1"/>
        <charset val="238"/>
      </rPr>
      <t>)</t>
    </r>
  </si>
  <si>
    <r>
      <t>Składki na ubezpieczenie zdrowotne (</t>
    </r>
    <r>
      <rPr>
        <b/>
        <i/>
        <sz val="8"/>
        <rFont val="Times New Roman"/>
        <family val="1"/>
        <charset val="238"/>
      </rPr>
      <t>PCPR</t>
    </r>
    <r>
      <rPr>
        <sz val="8"/>
        <rFont val="Times New Roman"/>
        <family val="1"/>
        <charset val="238"/>
      </rPr>
      <t>)</t>
    </r>
  </si>
  <si>
    <t>Dotacje celowe przekazane dla powiatu na zadania bieżące realizowane na podstawie porozumień (umów) między JST</t>
  </si>
  <si>
    <t>Dotacja podmiotowa z budżetu dla jednostek niezaliczanych do sektora finansów publicznych</t>
  </si>
  <si>
    <t>Obsługa papierów wartościowych, kredytów i pożyczek JST</t>
  </si>
  <si>
    <t>Wydatki osobowe niezaliczone do uposażeń wypłacane żołnierzom i funkcjonariuszom</t>
  </si>
  <si>
    <t>Pozostałe podatki na rzecz budżetów jednostek samorządu terytorialnego</t>
  </si>
  <si>
    <t>Opłaty na rzecz budżetów jednostek samorządu terytorialnego</t>
  </si>
  <si>
    <t>Dotacje przekazywane z funduszy celowych na realizację zadań bieżących dla jednostek sektora finansów publicznych</t>
  </si>
  <si>
    <t xml:space="preserve"> Powiatowy Dom Samopomocy - Centrum Rehabilitacyjno - Kulturalne w Białogardzie</t>
  </si>
  <si>
    <t>Wydatki w dziale 801 - Oświata i wychowanie oraz w dziale 854 - Edukacyjna opieka wychowawcza</t>
  </si>
  <si>
    <t>80102 Szkoły podstawowe specjalne</t>
  </si>
  <si>
    <t>80111 Gimnazja specjalne</t>
  </si>
  <si>
    <t>80120 Licea ogólnokoształcące</t>
  </si>
  <si>
    <t>80146 Dokszt. i dosk. nauczycieli</t>
  </si>
  <si>
    <t>85406 Poradnie psychologicz. -pedagogiczne</t>
  </si>
  <si>
    <t>85446 Dokształc. i doskon. nauczycieli</t>
  </si>
  <si>
    <t xml:space="preserve">Ogółem 801+854 </t>
  </si>
  <si>
    <t>Prywatne Uzupełniające Liceum Ogólnokształcące dla Dorosłych</t>
  </si>
  <si>
    <t>Niepubliczny Ośrodek Rehabilitacyjno-Edukacyjno-Wychowawczy w Kowalkach</t>
  </si>
  <si>
    <t>Załącznik Nr 13</t>
  </si>
  <si>
    <t>Wpływy od rodziców z tytułu odpłatności za utrzymanie dzieci (wychowanków) w placówkach opiekuńczo-wychowawczych</t>
  </si>
  <si>
    <t>Składki na ubezp.zdrow.oraz świadczenia dla osób nieobjętych obowiązkiem ubezpieczenia zdrow.</t>
  </si>
  <si>
    <t>Nazwa instytucji</t>
  </si>
  <si>
    <t>0490</t>
  </si>
  <si>
    <t>Zarządzanie kryzysowe</t>
  </si>
  <si>
    <t>Wpływy z innych lokalnych opłat pobieranych przez jst na podstawie odrębnych ustaw</t>
  </si>
  <si>
    <t>Środki na dofinansowanie własnych zadań bieżących gmin, powiatów, samorządów województw, pozyskane z innych źródeł</t>
  </si>
  <si>
    <t>Centra kształcenia ustawicznego i praktycznego oraz ośrodki  dokształcania zawodowego</t>
  </si>
  <si>
    <t>Wpływy z tytułu pomocy finansowej udzielanej między jednostkami samorządu terytorialnego na dofinansowanie własnych zadań bieżących</t>
  </si>
  <si>
    <t>Dotacje rozwojowe oraz środki na finansowanie Wspólnej Polityki Rolnej</t>
  </si>
  <si>
    <t xml:space="preserve">Wynagrodzenia </t>
  </si>
  <si>
    <t xml:space="preserve"> Pochodne od wynagrodzeń</t>
  </si>
  <si>
    <t>Komendy powiatowe policji</t>
  </si>
  <si>
    <t>Stołówki szkolne</t>
  </si>
  <si>
    <t>Biblioteki</t>
  </si>
  <si>
    <t>POCHODNE OD WYNAGRODZEŃ</t>
  </si>
  <si>
    <t xml:space="preserve">WYNAGRODZENIA </t>
  </si>
  <si>
    <t>Zarząd Dróg Powiatowych</t>
  </si>
  <si>
    <t>Starostwo  Powiatowe</t>
  </si>
  <si>
    <t>Dotacje celowe przekazane gminie na zadania bieżące realizowane na podstawie porozumień (umów) między jednostkami samorządu terytorialnego (finansowanie ze środków funduszy strukturalnych)</t>
  </si>
  <si>
    <t>Dotacje celowe przekazane gminie na zadania bieżące realizowane na podstawie porozumień (umów) między jednostkami samorządu terytorialnego (współfinansowanie ze środkami funduszy strukturalnych)</t>
  </si>
  <si>
    <t>Wpłaty jednostek na fundusz celowy</t>
  </si>
  <si>
    <t>Nagrody o charakterze szczególnym niezaliczone do wynagrodzeń</t>
  </si>
  <si>
    <t>Świadczenia społeczne (współfinansowanie ze środkami funduszy strukturalnych)</t>
  </si>
  <si>
    <t>Wynagrodzenia osobowe pracowników (współfinansowanie ze środkami funduszy strukturalnych)</t>
  </si>
  <si>
    <t>Uposażenia i świadczenia pieniężne wypłacane przez okres roku żołnierzom i funkcjonariuszom zwolnionym ze służby</t>
  </si>
  <si>
    <t>Zakup materiałów i wyposażenia (współfinansowanie ze środkami funduszy strukturalnych)</t>
  </si>
  <si>
    <t>Wynagrodzenia bezosobowe (współfinansowanie ze środkami funduszy strukturalnych)</t>
  </si>
  <si>
    <t>Składki na Fundusz Pracy (współfinansowanie ze środkami funduszy strukturalnych)</t>
  </si>
  <si>
    <t>Składki na ubezpieczenia społeczne (współfinansowanie ze środkami funduszy strukturalnych)</t>
  </si>
  <si>
    <t>Odpisy na zakładowy fundusz świadczeń socjalnych (finansowanie ze środków funduszy strukturalnych)</t>
  </si>
  <si>
    <t>Podróże służbowe krajowe (współfinansowanie ze środkami funduszy strukturalnych)</t>
  </si>
  <si>
    <t>Odpisy na zakładowy fundusz świadczeń socjalnych (współfinansowanie ze środkami funduszy strukturalnych)</t>
  </si>
  <si>
    <t>Odsetki od nieterminowych wpłat z tytułu pozostałych podatków i opłat</t>
  </si>
  <si>
    <t>Zakup akcesoriów komputerowych, w tym programów i licencji (finansowanie ze środków funduszy strukturalnych)</t>
  </si>
  <si>
    <t>Zakup akcesoriów komputerowych, w tym programów i licencji (współfinansowanie ze środkami funduszy strukturalnych)</t>
  </si>
  <si>
    <t>Rezerwy</t>
  </si>
  <si>
    <t>Rozliczenia z bankami związane o obsługą długu publicznego</t>
  </si>
  <si>
    <t xml:space="preserve">Dotacje celowe przekazane gminie na zadania bieżące realizowane na podstawie porozumień (umów) między jednostkami samorządu terytorialnego </t>
  </si>
  <si>
    <t>Prywatne Liceum Ogólnokształcące SCHOLAR dla dorosłych po ZSZ</t>
  </si>
  <si>
    <t>Prywatne Uzupełniające Liceum Ogólnokształcące dla dorosłych</t>
  </si>
  <si>
    <t>Prywatne Liceum Profilowane SCHOLAR dla dorosłych</t>
  </si>
  <si>
    <t>Prywatne Liceum Profilowane SCHOLAR (dla młodzieży)</t>
  </si>
  <si>
    <t>Prywatne Studium SCHOLAR</t>
  </si>
  <si>
    <t>Prywatne Policealne Studium Zawodowe</t>
  </si>
  <si>
    <t>Warsztaty Terapii Zajęciowej SZANSA w Białogardzie</t>
  </si>
  <si>
    <t>Ośrodek Rehabilitacyjno-Edukacyjno-Wychowawczy w Kowalkach</t>
  </si>
  <si>
    <t>Nazwa zadania</t>
  </si>
  <si>
    <t>Dotacja dla Stowarzyszenia "SOS Wioski Dziecięce" w Karlinie na prowadzenie placówki opiekuńczo-wychowawczej</t>
  </si>
  <si>
    <t>Atletyczny Klub Sportowy w Białogardzie</t>
  </si>
  <si>
    <t>Miasto Białogard - program "Rodzina razem"</t>
  </si>
  <si>
    <t>Gmina Białogard - program "Rodzina razem"</t>
  </si>
  <si>
    <t>Gmina Tychowo - program "Rodzina razem"</t>
  </si>
  <si>
    <t>Pochodne od wynagrodzeń</t>
  </si>
  <si>
    <t>Wynagrodzenia</t>
  </si>
  <si>
    <t>Nazwa programu, projektu i zadania inwestycyjnego</t>
  </si>
  <si>
    <t>Jednostka organizacyjna realizująca program lub koordynująca wykonanie programu</t>
  </si>
  <si>
    <t>Żródła finansowania w odniesieniu do kosztów kwalifikowanych</t>
  </si>
  <si>
    <t>program</t>
  </si>
  <si>
    <t>Ogółem:</t>
  </si>
  <si>
    <t>projekt</t>
  </si>
  <si>
    <t xml:space="preserve">środki JST: </t>
  </si>
  <si>
    <t>zadanie</t>
  </si>
  <si>
    <t>kredyty, pożyczki, obligacje</t>
  </si>
  <si>
    <t>budżet państwa</t>
  </si>
  <si>
    <t>I etap odcinek Pobłocie Wielkie - Kowańcz</t>
  </si>
  <si>
    <t>„Narodowy Program Przebudowy Dróg Lokalnych 2008-2011"</t>
  </si>
  <si>
    <t>Regionalny Program Operacyjny Województwa Zachodniopomorskiego</t>
  </si>
  <si>
    <t>2007-2010</t>
  </si>
  <si>
    <t>środki UE</t>
  </si>
  <si>
    <t>2008-2011</t>
  </si>
  <si>
    <t>Rozbudowa i przebudowa budynku gimnazjum specjalnego</t>
  </si>
  <si>
    <t>Termomodernizacja obiektów  użyteczności publicznej</t>
  </si>
  <si>
    <t>Termomodernizacja budynku Powiatowego Urzędu Pracy</t>
  </si>
  <si>
    <t>Termomodernizacja budynku Zespołu Szkół Ponadgimnazjalnych w Tychowie</t>
  </si>
  <si>
    <t>Termomodernizacja obiektów użyteczności publicznej</t>
  </si>
  <si>
    <t>Termomodernizacja budynku Internatu Zespołu Szkół Ponadgimnazjalnych w Tychowie</t>
  </si>
  <si>
    <t>Termomodernizacja budynku Zespołu Szkół Ponadgimnazjalnych w Białogardzie</t>
  </si>
  <si>
    <t>Termomodernizacja budynku Zespołu Szkół Specjalnych w Białogardzie</t>
  </si>
  <si>
    <t>Nazwa programu  i zadania finansowanych z budżetu</t>
  </si>
  <si>
    <t>Łączne poniesione nakłady finansowe</t>
  </si>
  <si>
    <t xml:space="preserve">Wykonanie </t>
  </si>
  <si>
    <t>Rodzina razem</t>
  </si>
  <si>
    <t>Prowadzenie Domu Pomocy Społecznej w Białogardzie o zasięgu ponadgminnym (powiatowym) dla osób w podeszłym wieku i osób przewlekle somatycznie chorych - dotacja dla Stowarzyszenia Pomocy "Przytulisko" w Białogardzie</t>
  </si>
  <si>
    <t>Kwota dotacji</t>
  </si>
  <si>
    <t>Wpłaty Powiatu Białogardzkiego</t>
  </si>
  <si>
    <t>na wyodrębnione fundusze celowe</t>
  </si>
  <si>
    <t>Fundusz celowy</t>
  </si>
  <si>
    <t>Fundusz Wsparcia Policji</t>
  </si>
  <si>
    <t xml:space="preserve">związane z realizacją zadań własnych </t>
  </si>
  <si>
    <t>Dochody bieżące</t>
  </si>
  <si>
    <t>Dochody majątkowe</t>
  </si>
  <si>
    <t>bieżące</t>
  </si>
  <si>
    <t>-dochody</t>
  </si>
  <si>
    <t>DOCHODY BIEŻĄCE</t>
  </si>
  <si>
    <t>DOCHODY MAJĄTKOWE</t>
  </si>
  <si>
    <t>150</t>
  </si>
  <si>
    <t>700</t>
  </si>
  <si>
    <t>710</t>
  </si>
  <si>
    <t>750</t>
  </si>
  <si>
    <t>Upowszechnianie kultury fizycznej i sportu realizowane poprzez organizację imprez sportowych dla dzieci i młodzieży w Powiecie Białogardzkim - Stowarzyszenie Powiatowe Zrzeszenie Ludowe Zespoły Sportowe w Białogardzie</t>
  </si>
  <si>
    <t>Upowszechnianie kultury fizycznej i sportu realizowane poprzez organizację imprez sportowych dla dzieci i młodzieży w Powiecie Białogardzkim - Stowarzyszenie Powiatowy Szkolny Związek Sportowy w Białogardzie</t>
  </si>
  <si>
    <t>Załącznik Nr 14</t>
  </si>
  <si>
    <t>Załącznik Nr 21</t>
  </si>
  <si>
    <t>Załącznik Nr 22</t>
  </si>
  <si>
    <t>Załącznik nr 25</t>
  </si>
  <si>
    <t>Wpływy z innych opłat stanowiących dochody jednostek samorządu terytorialnego na podstawie ustaw</t>
  </si>
  <si>
    <t>Odsetki od samorządowych papierów wartościowych</t>
  </si>
  <si>
    <t>Nazwa projektu</t>
  </si>
  <si>
    <t>Przychody i wydatki Powiatowego Funduszu Ochrony Środowiska                                                                                 i Gospodarki Wodnej</t>
  </si>
  <si>
    <t>80148 Stołówki szkolne</t>
  </si>
  <si>
    <t>Prywatne Liceum Ogólnokształcące "Scholar" - dla młodzieży</t>
  </si>
  <si>
    <t>85419       Ośrodki rewalidacyjno - wychowawcze</t>
  </si>
  <si>
    <t>85415       Pomoc materialna dla uczniów</t>
  </si>
  <si>
    <r>
      <t>Składki na ubezpieczenie zdrowotne  (</t>
    </r>
    <r>
      <rPr>
        <b/>
        <i/>
        <sz val="8"/>
        <rFont val="Times New Roman"/>
        <family val="1"/>
        <charset val="238"/>
      </rPr>
      <t>RDD</t>
    </r>
    <r>
      <rPr>
        <sz val="8"/>
        <rFont val="Times New Roman"/>
        <family val="1"/>
        <charset val="238"/>
      </rPr>
      <t>)</t>
    </r>
  </si>
  <si>
    <t>02095</t>
  </si>
  <si>
    <t>Młodziezowy Dom Kultury</t>
  </si>
  <si>
    <t>Komenda Powiatowa Państwowej Straży Pożarnej</t>
  </si>
  <si>
    <t>W 2009 ROKU</t>
  </si>
  <si>
    <t>w 2009 roku</t>
  </si>
  <si>
    <t>Dotacje celowe otrzymane z budżetu państwa na realizacje inwestycji zakupów inwestycyjnych własnych powiatu</t>
  </si>
  <si>
    <t>Dotacja celowa otrzymana przez jednostkę samorządu terytorialnego pod innej jednostki samorządu terytorialnego będącej instytucją wdrażającą na zadania bieżące realizowane na podstawie porozumień (umów)</t>
  </si>
  <si>
    <t>Dotacje celowe otrzymane z budżetu państwa na zadania brieżące realizowane przez powiat na podstawie porozumień z organami administracji rządowej</t>
  </si>
  <si>
    <t>Ośrodki adopcyjno-opiekuńcze</t>
  </si>
  <si>
    <t>Wpływy z tytułu pomocy finansowej udzielanej między jednostkami samorządu terytorialnego na dofinansowanie własnych zadań inwestycyjnych i zakupów inwestycyjnych</t>
  </si>
  <si>
    <t>Otrzymane spadki, zapisy i darowizny w posatci pieniężnej</t>
  </si>
  <si>
    <t>w  2009 roku</t>
  </si>
  <si>
    <t xml:space="preserve">związane z realizacją zadań z zakresu administracji rządowej na podstawie porozumień z organami administracji rządowej </t>
  </si>
  <si>
    <t>Prywatne Liceum Ogólnokształcące SCHOLAR (dla młodzieży)</t>
  </si>
  <si>
    <t>Wykonanie dotacji podmiotowych udzielonych z budżetu Powiatu Białogardzkiego                     w 2009 roku</t>
  </si>
  <si>
    <t>Dofinansowanie kosztów remontu pomieszczeń budynku Posterunku Policji w Tychowie</t>
  </si>
  <si>
    <t>Zwroty dotacji</t>
  </si>
  <si>
    <t>wykorzystanych niezgodnie z przeznaczeniem lub pobranych w nadmiernej wysokości</t>
  </si>
  <si>
    <t>Jednostka dotująca</t>
  </si>
  <si>
    <t>Program wyrównywania różnic między regionami</t>
  </si>
  <si>
    <t>Państwowy Fundusz Rehabilitacji Osób Niepełnosprawnych</t>
  </si>
  <si>
    <t>Program ograniczania skutków niepełnosprawności</t>
  </si>
  <si>
    <t>Województwo Zachodniopomorskie</t>
  </si>
  <si>
    <t>Niepubliczna Szkoła Specjalna Przysposabiająca do Pracy</t>
  </si>
  <si>
    <t>Szpital Powiatowy w Białogardzie</t>
  </si>
  <si>
    <t xml:space="preserve">Parafia Rzymsko-Katolicka PW. Św. Jana Kantego w Dobrowie- Kościół PW. Nawiedzenia NMP w Żytelkowie </t>
  </si>
  <si>
    <t>Wykonanie dotacji celowych udzielonych z budżetu Powiatu Białogardzkiego na zadania własne powiatu realizowane przez podmioty należące do sektora finansów publicznych                               w 2009 roku</t>
  </si>
  <si>
    <t>Wydatki zrealizowane w formie dotacji celowej na zadania własne Powiatu realizowane przez podmioty nienależące do sektora finansów publicznych w 2009 roku</t>
  </si>
  <si>
    <t>Biblioteka powiatowa</t>
  </si>
  <si>
    <t>Gmina Karlio - "Noc Świętojańska"</t>
  </si>
  <si>
    <t>Gmina Tychowo - Dożynki Powiatowe</t>
  </si>
  <si>
    <t>Gmina Białogard- Powiatowe Zawody Sportowo-Pożarnicze</t>
  </si>
  <si>
    <t>Wykonanie dotacji celowych na zadania bieżące realizowane na podstawie porozumień między jednostkami samorządu terytorialnego w 2009 roku</t>
  </si>
  <si>
    <t>Warsztat Terapii Zajęciowej "Iskierka" w Karlinie</t>
  </si>
  <si>
    <t>Wydatki budżetu</t>
  </si>
  <si>
    <t>związane z realizacją zadań z zakresu administracji rządowej na podstawie porozumień z organami tej administracji</t>
  </si>
  <si>
    <t>Według działów klasyfikacji i ważniejszych źródeł:</t>
  </si>
  <si>
    <t xml:space="preserve">           w zł</t>
  </si>
  <si>
    <t xml:space="preserve"> z tego :</t>
  </si>
  <si>
    <t xml:space="preserve">Dotacje </t>
  </si>
  <si>
    <t xml:space="preserve">            w zł</t>
  </si>
  <si>
    <t>Dotacje celowe przekazane gminie na zadania bieżące realizowane na podstawie porozumień (umów) między jednostkami samorządu terytorialnego</t>
  </si>
  <si>
    <t>Dotacja podmiotowa z budżetu dla samodzielnego publicznego zakładu opieki zdrowotnej utworzonego przez jednostki samorządu terytorialnego</t>
  </si>
  <si>
    <t>Stypendia różne</t>
  </si>
  <si>
    <t>Nagrody motywacyjne</t>
  </si>
  <si>
    <t>Zakup leków, wyrobów medycznych i produktów biobójczych</t>
  </si>
  <si>
    <t>Zakup sprzętu i uzbrojenia</t>
  </si>
  <si>
    <t>Dotacje celowe przekazane dla powiatu na zadania bieżące realizowane na podstawie porozumień (umów) między jednostkami samorządu terytorialnego</t>
  </si>
  <si>
    <t>Szkolenia członków korpusu służby cywilnej</t>
  </si>
  <si>
    <t>Dotacje celowe przekazane gminie na inwestycje i zakupy inwestycyjne realizowane na podstawie porozumień (umów) między jednostkami samorządu terytorialnego</t>
  </si>
  <si>
    <t>program/ projekt</t>
  </si>
  <si>
    <t xml:space="preserve">Przebudowa drogi powiatowej nr 1182Z </t>
  </si>
  <si>
    <t>Przebudowa drogi powiatowej nr 0257 Z Gościno - Karlino</t>
  </si>
  <si>
    <t>Przebudowa drogi powiatowej nr 1172Z obiekt ulica Piłsudskiego i Zwyciestwa</t>
  </si>
  <si>
    <t>Przebudowa drogi 1172 Z ul.Piłsudskiego i Zwyciestwa odc. 1,757 km</t>
  </si>
  <si>
    <t>Odcinek od drogi wojewódzkiej nr 167 do miejscowości Doble, km 0+000 do km 5+293, długość odcinka 5,293 km</t>
  </si>
  <si>
    <t>Program Operacyjny Infrastruktura i Środowisko</t>
  </si>
  <si>
    <t>2008-2010</t>
  </si>
  <si>
    <t>Termomodernizacja budynku Liceum Ogólnokształcacego w Białogardzie</t>
  </si>
  <si>
    <t>projekt /zadanie</t>
  </si>
  <si>
    <t>Przebudowa i modernizacja szpitala po byłych Jednostkach Armii Radzieckiej na Centrum Rehabilitacji z oddziałami Szpitala Rejonowego w Białogardzie</t>
  </si>
  <si>
    <t>1994-2009</t>
  </si>
  <si>
    <t>INTERREG IVA Polska - Niemcy</t>
  </si>
  <si>
    <t>Projekt modelowy w celu stworzenia polsko-niemieckiej sieci ogrodów</t>
  </si>
  <si>
    <t>Parki, ogrody i więcej… odkryć i udostępnić</t>
  </si>
  <si>
    <t>Europejska Współpraca Terytorialna</t>
  </si>
  <si>
    <t>2009-2010</t>
  </si>
  <si>
    <t>Polsko Niemieckie Centrum multimedialne przy ZSP w Białogardzie</t>
  </si>
  <si>
    <t>Utworzenie bazy dydaktycznej poszerzającej program nauczania w zakresie informatyki, plastyki, muzyki.</t>
  </si>
  <si>
    <t>Przebudowa ciągu komunikacyjnego dróg powiatowych nr 1199 Z ul. Wojska Polskiego oraz nr 1196 Z ul. Kościuszki w Karlinie</t>
  </si>
  <si>
    <t>Przebudowa drogi powiatowej nr 1189 Z na ul. ulicy 1-go Maja w Białogardzie</t>
  </si>
  <si>
    <t>Odcinek od skrzyżowania z ul. Grunwaldzką do ul. Ustronie Miejskie"</t>
  </si>
  <si>
    <t>Adaptacja i remont budynku przy Placu Wolności 16 - 17 w Białogardzie na siedzibę Starostwa Powiatowego</t>
  </si>
  <si>
    <t>Budowa ścieżki rowerowej</t>
  </si>
  <si>
    <t>2009-2011</t>
  </si>
  <si>
    <t>Rynek otwarty dla wszystkich - Doradca zawodowy i pośrednik pracy w standardach unijnych</t>
  </si>
  <si>
    <t>Program Operacyjny Kapitał Ludzki</t>
  </si>
  <si>
    <t>w tym w 2009r.</t>
  </si>
  <si>
    <t>i innych środków Unii Europejskiej w 2009 roku</t>
  </si>
  <si>
    <t>11.</t>
  </si>
  <si>
    <t>Wydatki na zakupy inwestycyjne funduszy celowych</t>
  </si>
  <si>
    <t>12.</t>
  </si>
  <si>
    <t>13.</t>
  </si>
  <si>
    <t xml:space="preserve">Składki na ubezpieczenia społeczne </t>
  </si>
  <si>
    <t>Powiatu Białogardzkiego w 2009 roku</t>
  </si>
  <si>
    <t>- wolne środki</t>
  </si>
  <si>
    <t>za 2009 rok</t>
  </si>
  <si>
    <t>Zwroty dotacji niewykorzystanych w roku 2009</t>
  </si>
  <si>
    <t xml:space="preserve">80140 Centra kształcenia praktycznego </t>
  </si>
  <si>
    <t>80144 Inne formy kształcenia osobno nie wymienione</t>
  </si>
  <si>
    <t>Niepubliczna Szkoła Specjalna Przyspodsabiająca do Pracy</t>
  </si>
  <si>
    <t>SZKOŁY   dział 801</t>
  </si>
  <si>
    <t>SZKOŁY  dział 854</t>
  </si>
  <si>
    <t>Kwalifikacja wojskowa</t>
  </si>
  <si>
    <t>Drogi publiczne gminne</t>
  </si>
  <si>
    <t>Straż Graniczna</t>
  </si>
  <si>
    <t>Inne formy kształcenia osobno nie wymienione</t>
  </si>
  <si>
    <t>Ośrodki adpocyjno-opiekuńcze</t>
  </si>
  <si>
    <t>Dotacja celowa na pomoc finansową udzielana między jednostkami samorządu terytorialnego na dofinansowanie własnych zadań inwestycyjnych i zakupów inwestycyjnych</t>
  </si>
  <si>
    <t>Załącznik Nr 10</t>
  </si>
  <si>
    <t>Załącznik Nr 12</t>
  </si>
  <si>
    <t>Załącznik Nr 17</t>
  </si>
  <si>
    <t>Załącznik Nr 19</t>
  </si>
  <si>
    <t>Załącznik Nr 23</t>
  </si>
  <si>
    <t>Limity wydatków budżetowych na wieloletnie programy inwestycyjne</t>
  </si>
  <si>
    <t>Rozbudowa i przebudowa budynku gimnazjum specjalnego ul Zamojskiego 6 78-200 Białogard, nr działki 545/2 obręb 006</t>
  </si>
  <si>
    <t>Kkwalifikacja wojskowa</t>
  </si>
  <si>
    <t>Dotacje celowe otrzymane z gminy na zadania bieżące realizowane na podstawie porozumień (umów) między JST</t>
  </si>
  <si>
    <t>Dotacje celowe otrzymane z budżetu państwa na realizację inwestycji i zakupów inwestycyjnych własnych powiatu</t>
  </si>
  <si>
    <t>Załącznik Nr 20</t>
  </si>
  <si>
    <t>Załącznik Nr 25</t>
  </si>
  <si>
    <t>Załącznik Nr 18</t>
  </si>
  <si>
    <t>Załącznik Nr 11</t>
  </si>
  <si>
    <t>Gmina Karlino - program "Rodzina razem"</t>
  </si>
  <si>
    <t>Zespoły ds.orzekania o niepełnosprawności</t>
  </si>
  <si>
    <t>Dotacje dla innych powiatów na pokrycie kosztów utrzymania dzieci z Powiatu Białogardzkiego w placówkach opiekuńczo-wychowawczych</t>
  </si>
  <si>
    <t>Dotacje dla innych powiatów na pokrycie kosztów utrzymania dzieci  z Powiatu Białogardzkiego w rodzianch zastępczych</t>
  </si>
  <si>
    <t>"Przebudowa i modernizacja szpitala po byłych Jednostkach Armii Radzieckiej na Centrum Rehabilitacji z oddziałami Szpitala Rejonowego w Białogardzie"</t>
  </si>
  <si>
    <t>Wykonanie § (4/3)</t>
  </si>
  <si>
    <t>Stypendia dla uczniów (współfinansowanie ze środkami funduszy strukturalnych)</t>
  </si>
  <si>
    <t>Dodatkowe wynagrodzenie roczne (finansowanie ze środków funduszy strukturalnych)</t>
  </si>
  <si>
    <t>Stypendia dla uczniów (finansowanie ze środków funduszy strukturalnych)</t>
  </si>
  <si>
    <t>2007- 2009</t>
  </si>
  <si>
    <t>Dochody w 2009 roku</t>
  </si>
  <si>
    <t>Wydatki w 2009 roku</t>
  </si>
</sst>
</file>

<file path=xl/styles.xml><?xml version="1.0" encoding="utf-8"?>
<styleSheet xmlns="http://schemas.openxmlformats.org/spreadsheetml/2006/main">
  <numFmts count="12">
    <numFmt numFmtId="43" formatCode="_-* #,##0.00\ _z_ł_-;\-* #,##0.00\ _z_ł_-;_-* &quot;-&quot;??\ _z_ł_-;_-@_-"/>
    <numFmt numFmtId="164" formatCode="\ #,##0.00&quot;      &quot;;\-#,##0.00&quot;      &quot;;&quot; -&quot;#&quot;      &quot;;@\ "/>
    <numFmt numFmtId="165" formatCode="\ #,##0&quot;      &quot;;\-#,##0&quot;      &quot;;&quot; -&quot;#&quot;      &quot;;@\ "/>
    <numFmt numFmtId="166" formatCode="0.0"/>
    <numFmt numFmtId="167" formatCode="\ #,##0.0&quot;      &quot;;\-#,##0.0&quot;      &quot;;&quot; -&quot;#&quot;      &quot;;@\ "/>
    <numFmt numFmtId="168" formatCode="#,###.00"/>
    <numFmt numFmtId="169" formatCode="#,##0.00_ ;\-#,##0.00\ "/>
    <numFmt numFmtId="170" formatCode="\ #,##0.00&quot;      &quot;;\-#,##0.00&quot;      &quot;;&quot; -&quot;#.00&quot;      &quot;;@\ "/>
    <numFmt numFmtId="171" formatCode="#,##0_ ;\-#,##0\ "/>
    <numFmt numFmtId="172" formatCode="#,##0.0_ ;\-#,##0.0\ "/>
    <numFmt numFmtId="173" formatCode="_-* #,##0\ _z_ł_-;\-* #,##0\ _z_ł_-;_-* &quot;-&quot;??\ _z_ł_-;_-@_-"/>
    <numFmt numFmtId="174" formatCode="_-* #,##0.0\ _z_ł_-;\-* #,##0.0\ _z_ł_-;_-* &quot;-&quot;??\ _z_ł_-;_-@_-"/>
  </numFmts>
  <fonts count="48"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7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Arial CE"/>
      <family val="2"/>
      <charset val="238"/>
    </font>
    <font>
      <b/>
      <sz val="12"/>
      <name val="Times New Roman CE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i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Times New (W1)"/>
      <family val="1"/>
    </font>
    <font>
      <sz val="9"/>
      <name val="Times New (W1)"/>
      <family val="1"/>
    </font>
    <font>
      <sz val="11"/>
      <name val="Arial CE"/>
      <family val="2"/>
      <charset val="238"/>
    </font>
    <font>
      <sz val="8"/>
      <name val="Times New (W1)"/>
      <family val="1"/>
    </font>
    <font>
      <i/>
      <sz val="10"/>
      <name val="Arial CE"/>
      <family val="2"/>
      <charset val="238"/>
    </font>
    <font>
      <sz val="10"/>
      <name val="Times New (W1)"/>
      <family val="1"/>
    </font>
    <font>
      <b/>
      <sz val="8"/>
      <name val="Times New (W1)"/>
      <family val="1"/>
    </font>
    <font>
      <b/>
      <sz val="12"/>
      <name val="Times New (W1)"/>
      <family val="1"/>
    </font>
    <font>
      <b/>
      <sz val="10"/>
      <name val="Times New (W1)"/>
      <family val="1"/>
    </font>
    <font>
      <sz val="6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0"/>
      <name val="Arial CE"/>
      <family val="2"/>
      <charset val="238"/>
    </font>
    <font>
      <sz val="7"/>
      <name val="Times New (W1)"/>
      <family val="1"/>
    </font>
    <font>
      <sz val="8"/>
      <name val="Times New Roman"/>
      <family val="1"/>
    </font>
    <font>
      <sz val="7"/>
      <name val="Times New Roman"/>
      <family val="1"/>
    </font>
    <font>
      <sz val="10"/>
      <name val="Arial CE"/>
      <charset val="238"/>
    </font>
    <font>
      <i/>
      <u/>
      <sz val="8"/>
      <name val="Times New (W1)"/>
      <family val="1"/>
    </font>
    <font>
      <sz val="6"/>
      <name val="Times New (W1)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164" fontId="23" fillId="0" borderId="0" applyFill="0" applyBorder="0" applyAlignment="0" applyProtection="0"/>
    <xf numFmtId="0" fontId="40" fillId="0" borderId="0"/>
  </cellStyleXfs>
  <cellXfs count="956">
    <xf numFmtId="0" fontId="0" fillId="0" borderId="0" xfId="0"/>
    <xf numFmtId="165" fontId="0" fillId="0" borderId="0" xfId="1" applyNumberFormat="1" applyFont="1" applyFill="1" applyBorder="1" applyAlignment="1" applyProtection="1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Border="1"/>
    <xf numFmtId="2" fontId="0" fillId="0" borderId="0" xfId="0" applyNumberFormat="1"/>
    <xf numFmtId="2" fontId="1" fillId="0" borderId="0" xfId="0" applyNumberFormat="1" applyFont="1"/>
    <xf numFmtId="0" fontId="10" fillId="0" borderId="0" xfId="0" applyFont="1"/>
    <xf numFmtId="0" fontId="2" fillId="0" borderId="0" xfId="0" applyFon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6" fillId="0" borderId="0" xfId="0" applyFont="1"/>
    <xf numFmtId="2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2" fontId="14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1" applyFont="1" applyFill="1" applyBorder="1" applyAlignment="1" applyProtection="1"/>
    <xf numFmtId="0" fontId="18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Border="1"/>
    <xf numFmtId="0" fontId="4" fillId="0" borderId="0" xfId="0" applyFont="1" applyAlignment="1">
      <alignment horizontal="right"/>
    </xf>
    <xf numFmtId="0" fontId="18" fillId="0" borderId="0" xfId="0" applyFont="1" applyBorder="1"/>
    <xf numFmtId="0" fontId="19" fillId="0" borderId="0" xfId="0" applyFont="1" applyBorder="1"/>
    <xf numFmtId="0" fontId="13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5" fontId="1" fillId="0" borderId="0" xfId="1" applyNumberFormat="1" applyFont="1" applyFill="1" applyBorder="1" applyAlignment="1" applyProtection="1"/>
    <xf numFmtId="4" fontId="1" fillId="0" borderId="3" xfId="1" applyNumberFormat="1" applyFont="1" applyFill="1" applyBorder="1" applyAlignment="1" applyProtection="1"/>
    <xf numFmtId="165" fontId="1" fillId="0" borderId="4" xfId="1" applyNumberFormat="1" applyFont="1" applyFill="1" applyBorder="1" applyAlignment="1" applyProtection="1"/>
    <xf numFmtId="165" fontId="1" fillId="0" borderId="2" xfId="1" applyNumberFormat="1" applyFont="1" applyFill="1" applyBorder="1" applyAlignment="1" applyProtection="1"/>
    <xf numFmtId="0" fontId="1" fillId="0" borderId="6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3" xfId="0" applyFont="1" applyBorder="1"/>
    <xf numFmtId="165" fontId="11" fillId="0" borderId="0" xfId="0" applyNumberFormat="1" applyFont="1" applyBorder="1"/>
    <xf numFmtId="4" fontId="11" fillId="0" borderId="3" xfId="0" applyNumberFormat="1" applyFont="1" applyBorder="1"/>
    <xf numFmtId="0" fontId="11" fillId="0" borderId="3" xfId="0" applyFont="1" applyBorder="1" applyAlignment="1">
      <alignment wrapText="1"/>
    </xf>
    <xf numFmtId="165" fontId="11" fillId="0" borderId="3" xfId="1" applyNumberFormat="1" applyFont="1" applyFill="1" applyBorder="1" applyAlignment="1" applyProtection="1"/>
    <xf numFmtId="4" fontId="11" fillId="0" borderId="3" xfId="1" applyNumberFormat="1" applyFont="1" applyFill="1" applyBorder="1" applyAlignment="1" applyProtection="1"/>
    <xf numFmtId="0" fontId="1" fillId="0" borderId="4" xfId="0" applyFont="1" applyBorder="1" applyAlignment="1">
      <alignment wrapText="1"/>
    </xf>
    <xf numFmtId="4" fontId="11" fillId="0" borderId="4" xfId="1" applyNumberFormat="1" applyFont="1" applyFill="1" applyBorder="1" applyAlignment="1" applyProtection="1"/>
    <xf numFmtId="0" fontId="20" fillId="0" borderId="3" xfId="0" applyFont="1" applyBorder="1" applyAlignment="1">
      <alignment wrapText="1"/>
    </xf>
    <xf numFmtId="165" fontId="20" fillId="0" borderId="0" xfId="1" applyNumberFormat="1" applyFont="1" applyFill="1" applyBorder="1" applyAlignment="1" applyProtection="1"/>
    <xf numFmtId="4" fontId="20" fillId="0" borderId="2" xfId="1" applyNumberFormat="1" applyFont="1" applyFill="1" applyBorder="1" applyAlignment="1" applyProtection="1"/>
    <xf numFmtId="4" fontId="20" fillId="0" borderId="3" xfId="1" applyNumberFormat="1" applyFont="1" applyFill="1" applyBorder="1" applyAlignment="1" applyProtection="1"/>
    <xf numFmtId="0" fontId="20" fillId="0" borderId="3" xfId="0" applyFont="1" applyBorder="1"/>
    <xf numFmtId="4" fontId="1" fillId="0" borderId="4" xfId="0" applyNumberFormat="1" applyFont="1" applyBorder="1"/>
    <xf numFmtId="0" fontId="20" fillId="0" borderId="2" xfId="0" applyFont="1" applyBorder="1"/>
    <xf numFmtId="165" fontId="20" fillId="0" borderId="7" xfId="1" applyNumberFormat="1" applyFont="1" applyFill="1" applyBorder="1" applyAlignment="1" applyProtection="1"/>
    <xf numFmtId="165" fontId="20" fillId="0" borderId="8" xfId="1" applyNumberFormat="1" applyFont="1" applyFill="1" applyBorder="1" applyAlignment="1" applyProtection="1"/>
    <xf numFmtId="0" fontId="20" fillId="0" borderId="4" xfId="0" applyFont="1" applyBorder="1"/>
    <xf numFmtId="0" fontId="1" fillId="0" borderId="9" xfId="0" applyFont="1" applyBorder="1"/>
    <xf numFmtId="0" fontId="1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4" fontId="6" fillId="0" borderId="10" xfId="1" applyNumberFormat="1" applyFont="1" applyFill="1" applyBorder="1" applyAlignment="1" applyProtection="1"/>
    <xf numFmtId="166" fontId="6" fillId="0" borderId="10" xfId="0" applyNumberFormat="1" applyFont="1" applyBorder="1"/>
    <xf numFmtId="0" fontId="6" fillId="0" borderId="10" xfId="0" applyFont="1" applyBorder="1" applyAlignment="1">
      <alignment horizontal="left" vertical="top" wrapText="1"/>
    </xf>
    <xf numFmtId="0" fontId="6" fillId="0" borderId="10" xfId="0" quotePrefix="1" applyFont="1" applyBorder="1" applyAlignment="1">
      <alignment horizontal="center" vertical="center"/>
    </xf>
    <xf numFmtId="0" fontId="6" fillId="0" borderId="10" xfId="0" applyFont="1" applyBorder="1"/>
    <xf numFmtId="0" fontId="6" fillId="0" borderId="10" xfId="0" quotePrefix="1" applyFont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166" fontId="6" fillId="0" borderId="10" xfId="0" applyNumberFormat="1" applyFont="1" applyFill="1" applyBorder="1"/>
    <xf numFmtId="4" fontId="5" fillId="0" borderId="10" xfId="1" applyNumberFormat="1" applyFont="1" applyFill="1" applyBorder="1" applyAlignment="1" applyProtection="1"/>
    <xf numFmtId="166" fontId="5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4" fontId="1" fillId="0" borderId="10" xfId="1" applyNumberFormat="1" applyFont="1" applyFill="1" applyBorder="1" applyAlignment="1" applyProtection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0" borderId="18" xfId="0" applyFont="1" applyBorder="1"/>
    <xf numFmtId="4" fontId="0" fillId="0" borderId="0" xfId="0" applyNumberFormat="1"/>
    <xf numFmtId="3" fontId="0" fillId="0" borderId="0" xfId="0" applyNumberFormat="1"/>
    <xf numFmtId="4" fontId="11" fillId="0" borderId="10" xfId="1" applyNumberFormat="1" applyFont="1" applyFill="1" applyBorder="1" applyAlignment="1" applyProtection="1"/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164" fontId="25" fillId="0" borderId="0" xfId="1" applyFont="1"/>
    <xf numFmtId="4" fontId="2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35" fillId="0" borderId="0" xfId="0" applyFont="1"/>
    <xf numFmtId="165" fontId="36" fillId="0" borderId="0" xfId="1" applyNumberFormat="1" applyFont="1" applyFill="1" applyBorder="1" applyAlignment="1" applyProtection="1"/>
    <xf numFmtId="0" fontId="9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3" fontId="5" fillId="0" borderId="10" xfId="1" applyNumberFormat="1" applyFont="1" applyFill="1" applyBorder="1" applyAlignment="1" applyProtection="1">
      <alignment horizontal="right"/>
    </xf>
    <xf numFmtId="4" fontId="5" fillId="0" borderId="10" xfId="1" applyNumberFormat="1" applyFont="1" applyFill="1" applyBorder="1" applyAlignment="1" applyProtection="1">
      <alignment horizontal="right"/>
    </xf>
    <xf numFmtId="3" fontId="6" fillId="0" borderId="10" xfId="1" applyNumberFormat="1" applyFont="1" applyFill="1" applyBorder="1" applyAlignment="1" applyProtection="1">
      <alignment horizontal="right"/>
    </xf>
    <xf numFmtId="4" fontId="6" fillId="0" borderId="10" xfId="1" applyNumberFormat="1" applyFont="1" applyFill="1" applyBorder="1" applyAlignment="1" applyProtection="1">
      <alignment horizontal="right"/>
    </xf>
    <xf numFmtId="0" fontId="5" fillId="0" borderId="10" xfId="0" applyFont="1" applyBorder="1"/>
    <xf numFmtId="3" fontId="5" fillId="0" borderId="10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165" fontId="5" fillId="0" borderId="10" xfId="1" applyNumberFormat="1" applyFont="1" applyFill="1" applyBorder="1" applyAlignment="1" applyProtection="1">
      <alignment horizontal="right"/>
    </xf>
    <xf numFmtId="165" fontId="5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5" fontId="6" fillId="0" borderId="10" xfId="1" applyNumberFormat="1" applyFont="1" applyFill="1" applyBorder="1" applyAlignment="1" applyProtection="1">
      <alignment horizontal="left"/>
    </xf>
    <xf numFmtId="166" fontId="6" fillId="0" borderId="10" xfId="0" applyNumberFormat="1" applyFont="1" applyBorder="1" applyAlignment="1">
      <alignment horizontal="center"/>
    </xf>
    <xf numFmtId="165" fontId="5" fillId="0" borderId="10" xfId="1" applyNumberFormat="1" applyFont="1" applyFill="1" applyBorder="1" applyAlignment="1" applyProtection="1">
      <alignment horizontal="left"/>
    </xf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13" fillId="0" borderId="10" xfId="0" applyFont="1" applyBorder="1" applyAlignment="1">
      <alignment horizontal="center" vertical="top" wrapText="1"/>
    </xf>
    <xf numFmtId="4" fontId="6" fillId="0" borderId="10" xfId="0" applyNumberFormat="1" applyFont="1" applyBorder="1"/>
    <xf numFmtId="4" fontId="6" fillId="0" borderId="10" xfId="1" applyNumberFormat="1" applyFont="1" applyFill="1" applyBorder="1" applyAlignment="1" applyProtection="1">
      <alignment vertical="top"/>
    </xf>
    <xf numFmtId="4" fontId="0" fillId="0" borderId="0" xfId="0" applyNumberFormat="1" applyFont="1"/>
    <xf numFmtId="0" fontId="1" fillId="0" borderId="10" xfId="0" applyFont="1" applyFill="1" applyBorder="1" applyAlignment="1">
      <alignment horizontal="center" vertical="center"/>
    </xf>
    <xf numFmtId="0" fontId="11" fillId="0" borderId="10" xfId="0" applyFont="1" applyBorder="1"/>
    <xf numFmtId="165" fontId="11" fillId="0" borderId="10" xfId="1" applyNumberFormat="1" applyFont="1" applyFill="1" applyBorder="1" applyAlignment="1" applyProtection="1"/>
    <xf numFmtId="166" fontId="12" fillId="0" borderId="10" xfId="0" applyNumberFormat="1" applyFont="1" applyBorder="1"/>
    <xf numFmtId="0" fontId="1" fillId="0" borderId="10" xfId="0" applyFont="1" applyBorder="1"/>
    <xf numFmtId="165" fontId="1" fillId="0" borderId="10" xfId="1" applyNumberFormat="1" applyFont="1" applyFill="1" applyBorder="1" applyAlignment="1" applyProtection="1"/>
    <xf numFmtId="166" fontId="13" fillId="0" borderId="10" xfId="0" applyNumberFormat="1" applyFont="1" applyBorder="1"/>
    <xf numFmtId="165" fontId="11" fillId="0" borderId="10" xfId="0" applyNumberFormat="1" applyFont="1" applyBorder="1"/>
    <xf numFmtId="4" fontId="11" fillId="0" borderId="10" xfId="0" applyNumberFormat="1" applyFont="1" applyBorder="1"/>
    <xf numFmtId="166" fontId="11" fillId="0" borderId="10" xfId="1" applyNumberFormat="1" applyFont="1" applyFill="1" applyBorder="1" applyAlignment="1" applyProtection="1">
      <alignment horizontal="right"/>
    </xf>
    <xf numFmtId="166" fontId="1" fillId="0" borderId="10" xfId="1" applyNumberFormat="1" applyFont="1" applyFill="1" applyBorder="1" applyAlignment="1" applyProtection="1">
      <alignment horizontal="right"/>
    </xf>
    <xf numFmtId="0" fontId="1" fillId="0" borderId="10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0" fillId="0" borderId="0" xfId="0" applyFont="1" applyFill="1"/>
    <xf numFmtId="0" fontId="28" fillId="0" borderId="0" xfId="0" applyFont="1"/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center" vertical="center"/>
    </xf>
    <xf numFmtId="0" fontId="27" fillId="0" borderId="0" xfId="0" applyFont="1"/>
    <xf numFmtId="0" fontId="30" fillId="0" borderId="0" xfId="0" applyFont="1"/>
    <xf numFmtId="0" fontId="32" fillId="0" borderId="0" xfId="0" applyFont="1" applyAlignment="1">
      <alignment horizontal="center"/>
    </xf>
    <xf numFmtId="2" fontId="13" fillId="0" borderId="10" xfId="0" applyNumberFormat="1" applyFont="1" applyBorder="1"/>
    <xf numFmtId="2" fontId="13" fillId="0" borderId="10" xfId="0" applyNumberFormat="1" applyFont="1" applyBorder="1" applyAlignment="1">
      <alignment horizontal="center" vertical="top" wrapText="1"/>
    </xf>
    <xf numFmtId="4" fontId="5" fillId="0" borderId="10" xfId="1" applyNumberFormat="1" applyFont="1" applyFill="1" applyBorder="1" applyAlignment="1" applyProtection="1">
      <alignment horizontal="center"/>
    </xf>
    <xf numFmtId="165" fontId="6" fillId="0" borderId="10" xfId="1" applyNumberFormat="1" applyFont="1" applyFill="1" applyBorder="1" applyAlignment="1" applyProtection="1">
      <alignment horizontal="left" wrapText="1"/>
    </xf>
    <xf numFmtId="4" fontId="1" fillId="0" borderId="10" xfId="0" applyNumberFormat="1" applyFont="1" applyBorder="1"/>
    <xf numFmtId="164" fontId="4" fillId="0" borderId="10" xfId="1" applyFont="1" applyFill="1" applyBorder="1" applyAlignment="1" applyProtection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164" fontId="12" fillId="2" borderId="10" xfId="1" applyFont="1" applyFill="1" applyBorder="1" applyAlignment="1" applyProtection="1">
      <alignment vertical="center"/>
    </xf>
    <xf numFmtId="167" fontId="12" fillId="2" borderId="10" xfId="1" applyNumberFormat="1" applyFont="1" applyFill="1" applyBorder="1" applyAlignment="1" applyProtection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164" fontId="12" fillId="0" borderId="10" xfId="1" applyFont="1" applyFill="1" applyBorder="1" applyAlignment="1" applyProtection="1">
      <alignment vertical="center"/>
    </xf>
    <xf numFmtId="167" fontId="12" fillId="0" borderId="10" xfId="1" applyNumberFormat="1" applyFont="1" applyFill="1" applyBorder="1" applyAlignment="1" applyProtection="1">
      <alignment vertical="center"/>
    </xf>
    <xf numFmtId="0" fontId="13" fillId="0" borderId="10" xfId="0" applyFont="1" applyBorder="1" applyAlignment="1">
      <alignment vertical="center"/>
    </xf>
    <xf numFmtId="164" fontId="13" fillId="0" borderId="10" xfId="1" applyFont="1" applyFill="1" applyBorder="1" applyAlignment="1" applyProtection="1">
      <alignment vertical="center"/>
    </xf>
    <xf numFmtId="167" fontId="13" fillId="0" borderId="10" xfId="1" applyNumberFormat="1" applyFont="1" applyFill="1" applyBorder="1" applyAlignment="1" applyProtection="1">
      <alignment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top" wrapText="1"/>
    </xf>
    <xf numFmtId="167" fontId="12" fillId="3" borderId="10" xfId="1" applyNumberFormat="1" applyFont="1" applyFill="1" applyBorder="1" applyAlignment="1" applyProtection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164" fontId="16" fillId="0" borderId="10" xfId="1" applyFont="1" applyFill="1" applyBorder="1" applyAlignment="1" applyProtection="1">
      <alignment vertical="center"/>
    </xf>
    <xf numFmtId="167" fontId="17" fillId="3" borderId="10" xfId="1" applyNumberFormat="1" applyFont="1" applyFill="1" applyBorder="1" applyAlignment="1" applyProtection="1">
      <alignment vertical="center"/>
    </xf>
    <xf numFmtId="167" fontId="13" fillId="3" borderId="10" xfId="1" applyNumberFormat="1" applyFont="1" applyFill="1" applyBorder="1" applyAlignment="1" applyProtection="1">
      <alignment vertical="center"/>
    </xf>
    <xf numFmtId="0" fontId="17" fillId="0" borderId="10" xfId="0" applyFont="1" applyBorder="1" applyAlignment="1">
      <alignment horizontal="center" vertical="center"/>
    </xf>
    <xf numFmtId="170" fontId="12" fillId="0" borderId="10" xfId="1" applyNumberFormat="1" applyFont="1" applyFill="1" applyBorder="1" applyAlignment="1" applyProtection="1">
      <alignment vertical="center"/>
    </xf>
    <xf numFmtId="167" fontId="16" fillId="0" borderId="10" xfId="1" applyNumberFormat="1" applyFont="1" applyFill="1" applyBorder="1" applyAlignment="1" applyProtection="1">
      <alignment vertical="center"/>
    </xf>
    <xf numFmtId="0" fontId="16" fillId="0" borderId="10" xfId="0" applyFont="1" applyBorder="1"/>
    <xf numFmtId="0" fontId="12" fillId="0" borderId="10" xfId="0" applyFont="1" applyBorder="1"/>
    <xf numFmtId="0" fontId="13" fillId="0" borderId="10" xfId="0" applyFont="1" applyBorder="1" applyAlignment="1">
      <alignment wrapText="1"/>
    </xf>
    <xf numFmtId="170" fontId="13" fillId="0" borderId="10" xfId="1" applyNumberFormat="1" applyFont="1" applyFill="1" applyBorder="1" applyAlignment="1" applyProtection="1">
      <alignment vertical="center"/>
    </xf>
    <xf numFmtId="0" fontId="16" fillId="0" borderId="10" xfId="0" applyFont="1" applyFill="1" applyBorder="1"/>
    <xf numFmtId="0" fontId="12" fillId="2" borderId="10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 wrapText="1"/>
    </xf>
    <xf numFmtId="0" fontId="12" fillId="0" borderId="1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/>
    <xf numFmtId="0" fontId="16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/>
    <xf numFmtId="0" fontId="12" fillId="2" borderId="10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vertical="top"/>
    </xf>
    <xf numFmtId="0" fontId="12" fillId="0" borderId="10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horizontal="center" vertical="top"/>
    </xf>
    <xf numFmtId="0" fontId="13" fillId="0" borderId="10" xfId="0" applyFont="1" applyFill="1" applyBorder="1" applyAlignment="1">
      <alignment vertical="top" wrapText="1"/>
    </xf>
    <xf numFmtId="170" fontId="12" fillId="2" borderId="10" xfId="1" applyNumberFormat="1" applyFont="1" applyFill="1" applyBorder="1" applyAlignment="1" applyProtection="1">
      <alignment vertical="center"/>
    </xf>
    <xf numFmtId="167" fontId="16" fillId="3" borderId="10" xfId="1" applyNumberFormat="1" applyFont="1" applyFill="1" applyBorder="1" applyAlignment="1" applyProtection="1">
      <alignment vertical="center"/>
    </xf>
    <xf numFmtId="164" fontId="13" fillId="3" borderId="10" xfId="1" applyFont="1" applyFill="1" applyBorder="1" applyAlignment="1" applyProtection="1">
      <alignment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8" fontId="5" fillId="0" borderId="10" xfId="0" applyNumberFormat="1" applyFont="1" applyBorder="1"/>
    <xf numFmtId="0" fontId="36" fillId="0" borderId="0" xfId="0" applyFont="1"/>
    <xf numFmtId="165" fontId="6" fillId="0" borderId="1" xfId="1" applyNumberFormat="1" applyFont="1" applyFill="1" applyBorder="1" applyAlignment="1" applyProtection="1">
      <alignment horizontal="left" wrapText="1"/>
    </xf>
    <xf numFmtId="49" fontId="6" fillId="0" borderId="10" xfId="0" applyNumberFormat="1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7" fillId="0" borderId="0" xfId="0" applyFont="1" applyFill="1"/>
    <xf numFmtId="0" fontId="30" fillId="0" borderId="0" xfId="0" applyFont="1" applyFill="1"/>
    <xf numFmtId="0" fontId="32" fillId="0" borderId="0" xfId="0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/>
    <xf numFmtId="0" fontId="29" fillId="0" borderId="0" xfId="0" applyFont="1"/>
    <xf numFmtId="0" fontId="31" fillId="0" borderId="0" xfId="0" applyFont="1"/>
    <xf numFmtId="170" fontId="13" fillId="3" borderId="10" xfId="1" applyNumberFormat="1" applyFont="1" applyFill="1" applyBorder="1" applyAlignment="1" applyProtection="1">
      <alignment vertical="center"/>
    </xf>
    <xf numFmtId="170" fontId="16" fillId="0" borderId="10" xfId="1" applyNumberFormat="1" applyFont="1" applyFill="1" applyBorder="1" applyAlignment="1" applyProtection="1">
      <alignment vertical="center"/>
    </xf>
    <xf numFmtId="166" fontId="12" fillId="11" borderId="10" xfId="0" applyNumberFormat="1" applyFont="1" applyFill="1" applyBorder="1"/>
    <xf numFmtId="0" fontId="0" fillId="13" borderId="0" xfId="0" applyFill="1"/>
    <xf numFmtId="4" fontId="13" fillId="0" borderId="10" xfId="1" applyNumberFormat="1" applyFont="1" applyFill="1" applyBorder="1" applyAlignment="1" applyProtection="1"/>
    <xf numFmtId="172" fontId="5" fillId="0" borderId="10" xfId="1" applyNumberFormat="1" applyFont="1" applyFill="1" applyBorder="1" applyAlignment="1" applyProtection="1">
      <alignment horizontal="right"/>
    </xf>
    <xf numFmtId="172" fontId="6" fillId="0" borderId="10" xfId="1" applyNumberFormat="1" applyFont="1" applyFill="1" applyBorder="1" applyAlignment="1" applyProtection="1">
      <alignment horizontal="right"/>
    </xf>
    <xf numFmtId="0" fontId="5" fillId="0" borderId="10" xfId="0" applyFont="1" applyBorder="1" applyAlignment="1">
      <alignment horizontal="center" vertical="center"/>
    </xf>
    <xf numFmtId="4" fontId="5" fillId="0" borderId="10" xfId="0" applyNumberFormat="1" applyFont="1" applyBorder="1" applyAlignment="1"/>
    <xf numFmtId="4" fontId="25" fillId="0" borderId="10" xfId="1" applyNumberFormat="1" applyFont="1" applyFill="1" applyBorder="1" applyAlignment="1" applyProtection="1"/>
    <xf numFmtId="4" fontId="25" fillId="0" borderId="10" xfId="1" applyNumberFormat="1" applyFont="1" applyFill="1" applyBorder="1" applyAlignment="1" applyProtection="1">
      <alignment vertical="top"/>
    </xf>
    <xf numFmtId="0" fontId="6" fillId="0" borderId="10" xfId="0" applyFont="1" applyBorder="1" applyAlignment="1">
      <alignment horizontal="left" wrapText="1"/>
    </xf>
    <xf numFmtId="165" fontId="0" fillId="0" borderId="0" xfId="0" applyNumberFormat="1" applyFont="1"/>
    <xf numFmtId="0" fontId="12" fillId="0" borderId="10" xfId="0" quotePrefix="1" applyFont="1" applyBorder="1" applyAlignment="1">
      <alignment horizontal="center" vertical="center"/>
    </xf>
    <xf numFmtId="0" fontId="6" fillId="0" borderId="19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8" fontId="6" fillId="0" borderId="10" xfId="0" applyNumberFormat="1" applyFont="1" applyBorder="1" applyAlignment="1">
      <alignment horizontal="right" vertical="center"/>
    </xf>
    <xf numFmtId="4" fontId="6" fillId="0" borderId="10" xfId="1" applyNumberFormat="1" applyFont="1" applyFill="1" applyBorder="1" applyAlignment="1" applyProtection="1">
      <alignment horizontal="right" vertical="center"/>
    </xf>
    <xf numFmtId="0" fontId="13" fillId="0" borderId="10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3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/>
    </xf>
    <xf numFmtId="0" fontId="13" fillId="0" borderId="19" xfId="0" applyFont="1" applyBorder="1" applyAlignment="1">
      <alignment wrapText="1"/>
    </xf>
    <xf numFmtId="0" fontId="3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wrapText="1"/>
    </xf>
    <xf numFmtId="173" fontId="23" fillId="0" borderId="0" xfId="1" applyNumberFormat="1" applyFont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/>
    </xf>
    <xf numFmtId="164" fontId="23" fillId="0" borderId="10" xfId="1" applyFill="1" applyBorder="1" applyAlignment="1" applyProtection="1">
      <alignment horizontal="right"/>
    </xf>
    <xf numFmtId="0" fontId="25" fillId="0" borderId="0" xfId="0" applyFont="1"/>
    <xf numFmtId="0" fontId="29" fillId="0" borderId="0" xfId="0" applyFont="1" applyAlignment="1">
      <alignment horizontal="right"/>
    </xf>
    <xf numFmtId="0" fontId="27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4" fontId="24" fillId="0" borderId="10" xfId="1" applyNumberFormat="1" applyFont="1" applyFill="1" applyBorder="1" applyAlignment="1" applyProtection="1">
      <alignment horizontal="right"/>
    </xf>
    <xf numFmtId="0" fontId="32" fillId="0" borderId="0" xfId="0" applyFont="1"/>
    <xf numFmtId="4" fontId="29" fillId="0" borderId="0" xfId="0" applyNumberFormat="1" applyFont="1"/>
    <xf numFmtId="164" fontId="23" fillId="0" borderId="0" xfId="1"/>
    <xf numFmtId="172" fontId="6" fillId="0" borderId="10" xfId="1" applyNumberFormat="1" applyFont="1" applyFill="1" applyBorder="1" applyAlignment="1" applyProtection="1"/>
    <xf numFmtId="4" fontId="2" fillId="0" borderId="0" xfId="0" applyNumberFormat="1" applyFont="1"/>
    <xf numFmtId="169" fontId="5" fillId="0" borderId="10" xfId="1" applyNumberFormat="1" applyFont="1" applyFill="1" applyBorder="1" applyAlignment="1" applyProtection="1"/>
    <xf numFmtId="164" fontId="23" fillId="0" borderId="10" xfId="1" applyFill="1" applyBorder="1" applyAlignment="1" applyProtection="1"/>
    <xf numFmtId="164" fontId="23" fillId="0" borderId="10" xfId="1" applyFill="1" applyBorder="1" applyAlignment="1" applyProtection="1">
      <alignment vertical="top"/>
    </xf>
    <xf numFmtId="164" fontId="23" fillId="0" borderId="0" xfId="1" applyFill="1" applyBorder="1" applyAlignment="1" applyProtection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173" fontId="38" fillId="0" borderId="10" xfId="1" applyNumberFormat="1" applyFont="1" applyFill="1" applyBorder="1" applyAlignment="1">
      <alignment horizontal="left" wrapText="1"/>
    </xf>
    <xf numFmtId="173" fontId="38" fillId="0" borderId="22" xfId="1" applyNumberFormat="1" applyFont="1" applyFill="1" applyBorder="1" applyAlignment="1">
      <alignment horizontal="left" wrapText="1"/>
    </xf>
    <xf numFmtId="173" fontId="38" fillId="0" borderId="22" xfId="1" applyNumberFormat="1" applyFont="1" applyBorder="1" applyAlignment="1">
      <alignment horizontal="left" wrapText="1"/>
    </xf>
    <xf numFmtId="0" fontId="25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27" fillId="0" borderId="24" xfId="0" applyFont="1" applyBorder="1" applyAlignment="1">
      <alignment horizontal="center"/>
    </xf>
    <xf numFmtId="169" fontId="25" fillId="0" borderId="11" xfId="1" applyNumberFormat="1" applyFont="1" applyBorder="1" applyAlignment="1">
      <alignment vertical="center" wrapText="1"/>
    </xf>
    <xf numFmtId="169" fontId="24" fillId="0" borderId="10" xfId="1" applyNumberFormat="1" applyFont="1" applyBorder="1"/>
    <xf numFmtId="4" fontId="25" fillId="0" borderId="10" xfId="1" applyNumberFormat="1" applyFont="1" applyBorder="1" applyAlignment="1">
      <alignment vertical="center"/>
    </xf>
    <xf numFmtId="4" fontId="25" fillId="0" borderId="10" xfId="1" applyNumberFormat="1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41" fillId="0" borderId="0" xfId="0" applyFont="1" applyAlignment="1">
      <alignment horizontal="right"/>
    </xf>
    <xf numFmtId="0" fontId="29" fillId="13" borderId="10" xfId="0" applyFont="1" applyFill="1" applyBorder="1" applyAlignment="1">
      <alignment horizontal="center" vertical="center"/>
    </xf>
    <xf numFmtId="0" fontId="29" fillId="13" borderId="10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wrapText="1"/>
    </xf>
    <xf numFmtId="166" fontId="29" fillId="0" borderId="10" xfId="0" applyNumberFormat="1" applyFont="1" applyFill="1" applyBorder="1" applyAlignment="1">
      <alignment vertical="center"/>
    </xf>
    <xf numFmtId="166" fontId="32" fillId="0" borderId="1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4" fontId="12" fillId="2" borderId="10" xfId="1" applyNumberFormat="1" applyFont="1" applyFill="1" applyBorder="1" applyAlignment="1" applyProtection="1"/>
    <xf numFmtId="0" fontId="13" fillId="0" borderId="10" xfId="0" quotePrefix="1" applyFont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justify" vertical="top" wrapText="1"/>
    </xf>
    <xf numFmtId="0" fontId="13" fillId="2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top" wrapText="1"/>
    </xf>
    <xf numFmtId="0" fontId="12" fillId="10" borderId="19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left" vertical="top" wrapText="1"/>
    </xf>
    <xf numFmtId="4" fontId="12" fillId="11" borderId="10" xfId="1" applyNumberFormat="1" applyFont="1" applyFill="1" applyBorder="1" applyAlignment="1" applyProtection="1"/>
    <xf numFmtId="0" fontId="12" fillId="3" borderId="1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0" borderId="22" xfId="0" quotePrefix="1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7" fillId="0" borderId="10" xfId="0" applyFont="1" applyBorder="1" applyAlignment="1">
      <alignment wrapText="1"/>
    </xf>
    <xf numFmtId="0" fontId="12" fillId="2" borderId="21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horizontal="left" vertical="top" wrapText="1"/>
    </xf>
    <xf numFmtId="0" fontId="13" fillId="0" borderId="10" xfId="0" quotePrefix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justify" vertical="top" wrapText="1" readingOrder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/>
    </xf>
    <xf numFmtId="0" fontId="27" fillId="0" borderId="10" xfId="0" applyFont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left" wrapText="1"/>
    </xf>
    <xf numFmtId="4" fontId="12" fillId="0" borderId="10" xfId="1" applyNumberFormat="1" applyFont="1" applyFill="1" applyBorder="1" applyAlignment="1" applyProtection="1"/>
    <xf numFmtId="4" fontId="30" fillId="2" borderId="10" xfId="1" applyNumberFormat="1" applyFont="1" applyFill="1" applyBorder="1" applyAlignment="1" applyProtection="1">
      <alignment horizontal="right"/>
    </xf>
    <xf numFmtId="0" fontId="13" fillId="12" borderId="10" xfId="0" applyFont="1" applyFill="1" applyBorder="1" applyAlignment="1">
      <alignment horizontal="center" vertical="center"/>
    </xf>
    <xf numFmtId="4" fontId="13" fillId="12" borderId="10" xfId="1" applyNumberFormat="1" applyFont="1" applyFill="1" applyBorder="1" applyAlignment="1" applyProtection="1"/>
    <xf numFmtId="0" fontId="13" fillId="12" borderId="10" xfId="0" quotePrefix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top" wrapText="1" readingOrder="1"/>
    </xf>
    <xf numFmtId="0" fontId="13" fillId="0" borderId="10" xfId="0" applyFont="1" applyBorder="1" applyAlignment="1">
      <alignment vertical="top" wrapText="1" readingOrder="1"/>
    </xf>
    <xf numFmtId="0" fontId="1" fillId="0" borderId="19" xfId="0" applyFont="1" applyBorder="1" applyAlignment="1">
      <alignment horizontal="center"/>
    </xf>
    <xf numFmtId="0" fontId="1" fillId="0" borderId="20" xfId="0" quotePrefix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73" fontId="14" fillId="0" borderId="10" xfId="1" applyNumberFormat="1" applyFont="1" applyBorder="1" applyAlignment="1">
      <alignment horizontal="center"/>
    </xf>
    <xf numFmtId="43" fontId="14" fillId="0" borderId="10" xfId="1" applyNumberFormat="1" applyFont="1" applyBorder="1" applyAlignment="1">
      <alignment horizontal="center"/>
    </xf>
    <xf numFmtId="173" fontId="0" fillId="0" borderId="0" xfId="0" applyNumberFormat="1"/>
    <xf numFmtId="43" fontId="0" fillId="0" borderId="0" xfId="0" applyNumberFormat="1"/>
    <xf numFmtId="165" fontId="2" fillId="0" borderId="0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0" fontId="33" fillId="0" borderId="10" xfId="0" applyFont="1" applyBorder="1" applyAlignment="1">
      <alignment horizontal="center"/>
    </xf>
    <xf numFmtId="0" fontId="2" fillId="8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/>
    </xf>
    <xf numFmtId="165" fontId="23" fillId="0" borderId="10" xfId="1" applyNumberFormat="1" applyBorder="1" applyAlignment="1">
      <alignment vertical="center" wrapText="1"/>
    </xf>
    <xf numFmtId="165" fontId="23" fillId="0" borderId="10" xfId="1" applyNumberFormat="1" applyFill="1" applyBorder="1" applyAlignment="1">
      <alignment vertical="center" wrapText="1"/>
    </xf>
    <xf numFmtId="171" fontId="2" fillId="0" borderId="22" xfId="0" applyNumberFormat="1" applyFont="1" applyBorder="1" applyAlignment="1">
      <alignment horizontal="right" vertical="center"/>
    </xf>
    <xf numFmtId="169" fontId="23" fillId="0" borderId="10" xfId="1" applyNumberFormat="1" applyBorder="1" applyAlignment="1">
      <alignment vertical="center"/>
    </xf>
    <xf numFmtId="166" fontId="0" fillId="0" borderId="10" xfId="0" applyNumberFormat="1" applyBorder="1"/>
    <xf numFmtId="166" fontId="34" fillId="0" borderId="10" xfId="0" applyNumberFormat="1" applyFont="1" applyBorder="1"/>
    <xf numFmtId="0" fontId="0" fillId="0" borderId="0" xfId="0" applyAlignment="1"/>
    <xf numFmtId="0" fontId="32" fillId="5" borderId="10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29" fillId="0" borderId="0" xfId="0" applyFont="1" applyBorder="1" applyAlignment="1">
      <alignment wrapText="1"/>
    </xf>
    <xf numFmtId="173" fontId="29" fillId="0" borderId="0" xfId="1" applyNumberFormat="1" applyFont="1" applyBorder="1"/>
    <xf numFmtId="0" fontId="29" fillId="0" borderId="10" xfId="0" applyFont="1" applyFill="1" applyBorder="1" applyAlignment="1">
      <alignment wrapText="1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wrapText="1"/>
    </xf>
    <xf numFmtId="4" fontId="25" fillId="0" borderId="10" xfId="1" applyNumberFormat="1" applyFont="1" applyBorder="1"/>
    <xf numFmtId="3" fontId="24" fillId="0" borderId="22" xfId="0" applyNumberFormat="1" applyFont="1" applyBorder="1" applyAlignment="1">
      <alignment horizontal="right" vertical="center"/>
    </xf>
    <xf numFmtId="4" fontId="24" fillId="0" borderId="10" xfId="1" applyNumberFormat="1" applyFont="1" applyBorder="1" applyAlignment="1">
      <alignment vertical="center"/>
    </xf>
    <xf numFmtId="172" fontId="25" fillId="0" borderId="10" xfId="1" applyNumberFormat="1" applyFont="1" applyBorder="1" applyAlignment="1"/>
    <xf numFmtId="172" fontId="24" fillId="0" borderId="10" xfId="1" applyNumberFormat="1" applyFont="1" applyBorder="1" applyAlignment="1"/>
    <xf numFmtId="172" fontId="25" fillId="0" borderId="10" xfId="1" applyNumberFormat="1" applyFont="1" applyBorder="1"/>
    <xf numFmtId="172" fontId="24" fillId="0" borderId="10" xfId="1" applyNumberFormat="1" applyFont="1" applyBorder="1"/>
    <xf numFmtId="0" fontId="29" fillId="0" borderId="23" xfId="0" applyFont="1" applyBorder="1"/>
    <xf numFmtId="0" fontId="29" fillId="0" borderId="23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11" xfId="0" applyFont="1" applyBorder="1"/>
    <xf numFmtId="0" fontId="29" fillId="0" borderId="12" xfId="0" applyFont="1" applyBorder="1" applyAlignment="1">
      <alignment horizontal="center"/>
    </xf>
    <xf numFmtId="172" fontId="29" fillId="0" borderId="23" xfId="1" applyNumberFormat="1" applyFont="1" applyBorder="1" applyAlignment="1">
      <alignment horizontal="right"/>
    </xf>
    <xf numFmtId="172" fontId="32" fillId="0" borderId="23" xfId="1" applyNumberFormat="1" applyFont="1" applyBorder="1" applyAlignment="1">
      <alignment horizontal="right"/>
    </xf>
    <xf numFmtId="0" fontId="1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2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wrapText="1"/>
    </xf>
    <xf numFmtId="0" fontId="27" fillId="0" borderId="10" xfId="0" applyFont="1" applyBorder="1" applyAlignment="1">
      <alignment vertical="top" wrapText="1"/>
    </xf>
    <xf numFmtId="0" fontId="30" fillId="4" borderId="10" xfId="0" applyFont="1" applyFill="1" applyBorder="1" applyAlignment="1">
      <alignment vertical="top" wrapText="1"/>
    </xf>
    <xf numFmtId="4" fontId="27" fillId="0" borderId="10" xfId="1" applyNumberFormat="1" applyFont="1" applyFill="1" applyBorder="1" applyAlignment="1" applyProtection="1"/>
    <xf numFmtId="0" fontId="27" fillId="0" borderId="10" xfId="0" applyFont="1" applyBorder="1"/>
    <xf numFmtId="0" fontId="30" fillId="0" borderId="10" xfId="0" applyFont="1" applyBorder="1"/>
    <xf numFmtId="0" fontId="30" fillId="7" borderId="10" xfId="0" applyFont="1" applyFill="1" applyBorder="1" applyAlignment="1">
      <alignment wrapText="1"/>
    </xf>
    <xf numFmtId="4" fontId="30" fillId="7" borderId="10" xfId="1" applyNumberFormat="1" applyFont="1" applyFill="1" applyBorder="1" applyAlignment="1" applyProtection="1"/>
    <xf numFmtId="0" fontId="30" fillId="7" borderId="28" xfId="0" applyFont="1" applyFill="1" applyBorder="1" applyAlignment="1">
      <alignment wrapText="1"/>
    </xf>
    <xf numFmtId="4" fontId="30" fillId="7" borderId="29" xfId="1" applyNumberFormat="1" applyFont="1" applyFill="1" applyBorder="1" applyAlignment="1" applyProtection="1"/>
    <xf numFmtId="4" fontId="30" fillId="7" borderId="30" xfId="1" applyNumberFormat="1" applyFont="1" applyFill="1" applyBorder="1" applyAlignment="1" applyProtection="1"/>
    <xf numFmtId="4" fontId="30" fillId="8" borderId="31" xfId="1" applyNumberFormat="1" applyFont="1" applyFill="1" applyBorder="1" applyAlignment="1" applyProtection="1"/>
    <xf numFmtId="0" fontId="30" fillId="8" borderId="10" xfId="0" applyFont="1" applyFill="1" applyBorder="1" applyAlignment="1">
      <alignment vertical="top" wrapText="1"/>
    </xf>
    <xf numFmtId="4" fontId="30" fillId="8" borderId="10" xfId="1" applyNumberFormat="1" applyFont="1" applyFill="1" applyBorder="1" applyAlignment="1" applyProtection="1"/>
    <xf numFmtId="0" fontId="30" fillId="8" borderId="10" xfId="0" applyFont="1" applyFill="1" applyBorder="1" applyAlignment="1">
      <alignment wrapText="1"/>
    </xf>
    <xf numFmtId="0" fontId="30" fillId="8" borderId="10" xfId="0" applyFont="1" applyFill="1" applyBorder="1"/>
    <xf numFmtId="0" fontId="29" fillId="0" borderId="10" xfId="0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wrapText="1"/>
    </xf>
    <xf numFmtId="0" fontId="25" fillId="0" borderId="10" xfId="0" applyNumberFormat="1" applyFont="1" applyBorder="1" applyAlignment="1">
      <alignment horizontal="center" vertical="center"/>
    </xf>
    <xf numFmtId="0" fontId="25" fillId="0" borderId="10" xfId="0" applyFont="1" applyFill="1" applyBorder="1" applyAlignment="1">
      <alignment wrapText="1"/>
    </xf>
    <xf numFmtId="3" fontId="25" fillId="0" borderId="10" xfId="0" applyNumberFormat="1" applyFont="1" applyFill="1" applyBorder="1" applyAlignment="1">
      <alignment wrapText="1"/>
    </xf>
    <xf numFmtId="169" fontId="25" fillId="0" borderId="10" xfId="1" applyNumberFormat="1" applyFont="1" applyBorder="1" applyAlignment="1"/>
    <xf numFmtId="0" fontId="25" fillId="0" borderId="24" xfId="0" applyFont="1" applyBorder="1" applyAlignment="1">
      <alignment horizontal="center" vertical="center"/>
    </xf>
    <xf numFmtId="3" fontId="25" fillId="0" borderId="22" xfId="0" applyNumberFormat="1" applyFont="1" applyFill="1" applyBorder="1" applyAlignment="1">
      <alignment wrapText="1"/>
    </xf>
    <xf numFmtId="169" fontId="24" fillId="0" borderId="10" xfId="0" applyNumberFormat="1" applyFont="1" applyBorder="1" applyAlignment="1">
      <alignment vertical="center"/>
    </xf>
    <xf numFmtId="0" fontId="29" fillId="0" borderId="10" xfId="1" applyNumberFormat="1" applyFont="1" applyBorder="1" applyAlignment="1">
      <alignment horizontal="right" vertical="center"/>
    </xf>
    <xf numFmtId="0" fontId="29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/>
    </xf>
    <xf numFmtId="174" fontId="37" fillId="0" borderId="22" xfId="1" applyNumberFormat="1" applyFont="1" applyBorder="1" applyAlignment="1">
      <alignment vertical="center"/>
    </xf>
    <xf numFmtId="174" fontId="37" fillId="0" borderId="22" xfId="1" applyNumberFormat="1" applyFont="1" applyBorder="1" applyAlignment="1">
      <alignment horizontal="center" vertical="center"/>
    </xf>
    <xf numFmtId="166" fontId="29" fillId="0" borderId="18" xfId="0" applyNumberFormat="1" applyFont="1" applyBorder="1"/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4" fontId="25" fillId="0" borderId="0" xfId="1" applyNumberFormat="1" applyFont="1" applyBorder="1" applyAlignment="1">
      <alignment vertical="center" wrapText="1"/>
    </xf>
    <xf numFmtId="4" fontId="32" fillId="0" borderId="0" xfId="0" applyNumberFormat="1" applyFont="1" applyBorder="1"/>
    <xf numFmtId="0" fontId="0" fillId="0" borderId="0" xfId="0" applyFont="1" applyBorder="1"/>
    <xf numFmtId="0" fontId="29" fillId="0" borderId="19" xfId="0" applyNumberFormat="1" applyFont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49" fontId="13" fillId="0" borderId="10" xfId="0" applyNumberFormat="1" applyFont="1" applyBorder="1" applyAlignment="1">
      <alignment horizontal="left" vertical="top" wrapText="1"/>
    </xf>
    <xf numFmtId="4" fontId="12" fillId="2" borderId="10" xfId="1" applyNumberFormat="1" applyFont="1" applyFill="1" applyBorder="1" applyAlignment="1" applyProtection="1">
      <alignment horizontal="right" vertical="center"/>
    </xf>
    <xf numFmtId="4" fontId="13" fillId="0" borderId="10" xfId="1" applyNumberFormat="1" applyFont="1" applyFill="1" applyBorder="1" applyAlignment="1" applyProtection="1">
      <alignment horizontal="right" vertical="center"/>
    </xf>
    <xf numFmtId="4" fontId="13" fillId="3" borderId="10" xfId="1" applyNumberFormat="1" applyFont="1" applyFill="1" applyBorder="1" applyAlignment="1" applyProtection="1">
      <alignment horizontal="right" vertical="center"/>
    </xf>
    <xf numFmtId="4" fontId="12" fillId="11" borderId="10" xfId="1" applyNumberFormat="1" applyFont="1" applyFill="1" applyBorder="1" applyAlignment="1" applyProtection="1">
      <alignment horizontal="right" vertical="center"/>
    </xf>
    <xf numFmtId="4" fontId="30" fillId="2" borderId="10" xfId="1" applyNumberFormat="1" applyFont="1" applyFill="1" applyBorder="1" applyAlignment="1" applyProtection="1">
      <alignment horizontal="right" vertical="center"/>
    </xf>
    <xf numFmtId="169" fontId="27" fillId="0" borderId="10" xfId="1" applyNumberFormat="1" applyFont="1" applyFill="1" applyBorder="1" applyAlignment="1" applyProtection="1">
      <alignment horizontal="right" vertical="center"/>
    </xf>
    <xf numFmtId="49" fontId="6" fillId="0" borderId="10" xfId="0" applyNumberFormat="1" applyFont="1" applyBorder="1" applyAlignment="1">
      <alignment wrapText="1"/>
    </xf>
    <xf numFmtId="3" fontId="24" fillId="0" borderId="10" xfId="0" applyNumberFormat="1" applyFont="1" applyBorder="1"/>
    <xf numFmtId="4" fontId="24" fillId="0" borderId="10" xfId="0" applyNumberFormat="1" applyFont="1" applyBorder="1"/>
    <xf numFmtId="4" fontId="6" fillId="0" borderId="10" xfId="0" applyNumberFormat="1" applyFont="1" applyBorder="1" applyAlignment="1">
      <alignment horizontal="right"/>
    </xf>
    <xf numFmtId="0" fontId="30" fillId="15" borderId="10" xfId="0" applyFont="1" applyFill="1" applyBorder="1" applyAlignment="1">
      <alignment wrapText="1"/>
    </xf>
    <xf numFmtId="4" fontId="30" fillId="15" borderId="10" xfId="1" applyNumberFormat="1" applyFont="1" applyFill="1" applyBorder="1" applyAlignment="1" applyProtection="1"/>
    <xf numFmtId="0" fontId="30" fillId="16" borderId="10" xfId="0" applyFont="1" applyFill="1" applyBorder="1" applyAlignment="1">
      <alignment wrapText="1"/>
    </xf>
    <xf numFmtId="4" fontId="30" fillId="16" borderId="10" xfId="1" applyNumberFormat="1" applyFont="1" applyFill="1" applyBorder="1" applyAlignment="1" applyProtection="1"/>
    <xf numFmtId="4" fontId="30" fillId="17" borderId="10" xfId="1" applyNumberFormat="1" applyFont="1" applyFill="1" applyBorder="1" applyAlignment="1" applyProtection="1"/>
    <xf numFmtId="0" fontId="9" fillId="8" borderId="0" xfId="0" applyFont="1" applyFill="1"/>
    <xf numFmtId="0" fontId="9" fillId="14" borderId="0" xfId="0" applyFont="1" applyFill="1"/>
    <xf numFmtId="4" fontId="27" fillId="15" borderId="10" xfId="1" applyNumberFormat="1" applyFont="1" applyFill="1" applyBorder="1" applyAlignment="1" applyProtection="1"/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170" fontId="0" fillId="0" borderId="0" xfId="0" applyNumberFormat="1"/>
    <xf numFmtId="170" fontId="9" fillId="0" borderId="0" xfId="0" applyNumberFormat="1" applyFont="1"/>
    <xf numFmtId="170" fontId="4" fillId="0" borderId="10" xfId="0" applyNumberFormat="1" applyFont="1" applyBorder="1" applyAlignment="1">
      <alignment horizontal="center"/>
    </xf>
    <xf numFmtId="170" fontId="13" fillId="0" borderId="10" xfId="1" quotePrefix="1" applyNumberFormat="1" applyFont="1" applyFill="1" applyBorder="1" applyAlignment="1" applyProtection="1">
      <alignment vertical="center"/>
    </xf>
    <xf numFmtId="170" fontId="13" fillId="0" borderId="0" xfId="0" applyNumberFormat="1" applyFont="1"/>
    <xf numFmtId="4" fontId="13" fillId="0" borderId="10" xfId="1" applyNumberFormat="1" applyFont="1" applyFill="1" applyBorder="1" applyAlignment="1" applyProtection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4" fontId="13" fillId="12" borderId="10" xfId="1" applyNumberFormat="1" applyFont="1" applyFill="1" applyBorder="1" applyAlignment="1" applyProtection="1">
      <alignment horizontal="right" vertical="center"/>
    </xf>
    <xf numFmtId="4" fontId="1" fillId="0" borderId="0" xfId="0" applyNumberFormat="1" applyFont="1"/>
    <xf numFmtId="169" fontId="1" fillId="0" borderId="0" xfId="0" applyNumberFormat="1" applyFont="1"/>
    <xf numFmtId="169" fontId="5" fillId="0" borderId="10" xfId="0" applyNumberFormat="1" applyFont="1" applyBorder="1" applyAlignment="1"/>
    <xf numFmtId="169" fontId="6" fillId="0" borderId="10" xfId="1" applyNumberFormat="1" applyFont="1" applyFill="1" applyBorder="1" applyAlignment="1" applyProtection="1"/>
    <xf numFmtId="169" fontId="6" fillId="0" borderId="10" xfId="1" applyNumberFormat="1" applyFont="1" applyFill="1" applyBorder="1" applyAlignment="1" applyProtection="1">
      <alignment vertical="top"/>
    </xf>
    <xf numFmtId="169" fontId="14" fillId="0" borderId="0" xfId="0" applyNumberFormat="1" applyFont="1"/>
    <xf numFmtId="169" fontId="0" fillId="0" borderId="0" xfId="0" applyNumberFormat="1"/>
    <xf numFmtId="2" fontId="9" fillId="0" borderId="0" xfId="0" applyNumberFormat="1" applyFont="1"/>
    <xf numFmtId="164" fontId="6" fillId="0" borderId="0" xfId="1" applyFont="1"/>
    <xf numFmtId="164" fontId="1" fillId="0" borderId="10" xfId="1" applyFont="1" applyFill="1" applyBorder="1" applyAlignment="1" applyProtection="1"/>
    <xf numFmtId="169" fontId="11" fillId="0" borderId="10" xfId="1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6" fontId="12" fillId="11" borderId="10" xfId="0" applyNumberFormat="1" applyFont="1" applyFill="1" applyBorder="1" applyAlignment="1">
      <alignment horizontal="right" vertical="center"/>
    </xf>
    <xf numFmtId="166" fontId="13" fillId="0" borderId="10" xfId="0" applyNumberFormat="1" applyFont="1" applyBorder="1" applyAlignment="1">
      <alignment horizontal="right" vertical="center"/>
    </xf>
    <xf numFmtId="166" fontId="12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11" borderId="10" xfId="0" applyFont="1" applyFill="1" applyBorder="1" applyAlignment="1">
      <alignment horizontal="center"/>
    </xf>
    <xf numFmtId="0" fontId="4" fillId="0" borderId="10" xfId="0" applyNumberFormat="1" applyFont="1" applyBorder="1" applyAlignment="1">
      <alignment horizontal="center" vertical="center"/>
    </xf>
    <xf numFmtId="165" fontId="35" fillId="0" borderId="0" xfId="1" applyNumberFormat="1" applyFont="1" applyFill="1" applyBorder="1" applyAlignment="1" applyProtection="1"/>
    <xf numFmtId="4" fontId="24" fillId="0" borderId="10" xfId="1" applyNumberFormat="1" applyFont="1" applyFill="1" applyBorder="1" applyAlignment="1" applyProtection="1"/>
    <xf numFmtId="2" fontId="29" fillId="0" borderId="0" xfId="0" applyNumberFormat="1" applyFont="1"/>
    <xf numFmtId="1" fontId="37" fillId="0" borderId="10" xfId="0" applyNumberFormat="1" applyFont="1" applyBorder="1" applyAlignment="1">
      <alignment horizontal="center"/>
    </xf>
    <xf numFmtId="0" fontId="37" fillId="0" borderId="0" xfId="0" applyFont="1"/>
    <xf numFmtId="0" fontId="30" fillId="6" borderId="10" xfId="0" applyFont="1" applyFill="1" applyBorder="1" applyAlignment="1">
      <alignment horizontal="center"/>
    </xf>
    <xf numFmtId="0" fontId="30" fillId="6" borderId="10" xfId="0" applyFont="1" applyFill="1" applyBorder="1" applyAlignment="1">
      <alignment horizontal="left"/>
    </xf>
    <xf numFmtId="171" fontId="30" fillId="6" borderId="10" xfId="1" applyNumberFormat="1" applyFont="1" applyFill="1" applyBorder="1" applyAlignment="1" applyProtection="1">
      <alignment horizontal="right"/>
    </xf>
    <xf numFmtId="4" fontId="30" fillId="6" borderId="10" xfId="1" applyNumberFormat="1" applyFont="1" applyFill="1" applyBorder="1" applyAlignment="1" applyProtection="1">
      <alignment horizontal="right"/>
    </xf>
    <xf numFmtId="166" fontId="30" fillId="6" borderId="10" xfId="0" applyNumberFormat="1" applyFont="1" applyFill="1" applyBorder="1"/>
    <xf numFmtId="171" fontId="27" fillId="0" borderId="10" xfId="1" applyNumberFormat="1" applyFont="1" applyFill="1" applyBorder="1" applyAlignment="1" applyProtection="1">
      <alignment horizontal="right"/>
    </xf>
    <xf numFmtId="4" fontId="27" fillId="0" borderId="10" xfId="1" applyNumberFormat="1" applyFont="1" applyFill="1" applyBorder="1" applyAlignment="1" applyProtection="1">
      <alignment horizontal="right"/>
    </xf>
    <xf numFmtId="166" fontId="27" fillId="0" borderId="10" xfId="0" applyNumberFormat="1" applyFont="1" applyBorder="1"/>
    <xf numFmtId="0" fontId="27" fillId="0" borderId="10" xfId="0" quotePrefix="1" applyFont="1" applyBorder="1" applyAlignment="1">
      <alignment horizontal="center" vertical="center"/>
    </xf>
    <xf numFmtId="0" fontId="30" fillId="6" borderId="21" xfId="0" applyFont="1" applyFill="1" applyBorder="1" applyAlignment="1">
      <alignment horizontal="center" vertical="center"/>
    </xf>
    <xf numFmtId="0" fontId="30" fillId="6" borderId="10" xfId="0" applyFont="1" applyFill="1" applyBorder="1" applyAlignment="1">
      <alignment horizontal="center" vertical="center"/>
    </xf>
    <xf numFmtId="0" fontId="30" fillId="18" borderId="10" xfId="0" applyFont="1" applyFill="1" applyBorder="1" applyAlignment="1">
      <alignment horizontal="left" vertical="top" wrapText="1"/>
    </xf>
    <xf numFmtId="4" fontId="30" fillId="6" borderId="10" xfId="1" applyNumberFormat="1" applyFont="1" applyFill="1" applyBorder="1" applyAlignment="1" applyProtection="1"/>
    <xf numFmtId="0" fontId="30" fillId="6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/>
    <xf numFmtId="0" fontId="29" fillId="0" borderId="0" xfId="0" applyFont="1" applyAlignment="1">
      <alignment horizontal="left"/>
    </xf>
    <xf numFmtId="0" fontId="30" fillId="6" borderId="10" xfId="0" applyFont="1" applyFill="1" applyBorder="1"/>
    <xf numFmtId="49" fontId="27" fillId="0" borderId="10" xfId="0" applyNumberFormat="1" applyFont="1" applyBorder="1" applyAlignment="1">
      <alignment wrapText="1"/>
    </xf>
    <xf numFmtId="0" fontId="30" fillId="6" borderId="10" xfId="0" applyFont="1" applyFill="1" applyBorder="1" applyAlignment="1">
      <alignment horizontal="left" vertical="center" wrapText="1"/>
    </xf>
    <xf numFmtId="166" fontId="30" fillId="0" borderId="10" xfId="0" applyNumberFormat="1" applyFont="1" applyBorder="1"/>
    <xf numFmtId="164" fontId="23" fillId="0" borderId="12" xfId="1" applyBorder="1"/>
    <xf numFmtId="164" fontId="23" fillId="0" borderId="0" xfId="1" applyBorder="1" applyAlignment="1">
      <alignment horizontal="center"/>
    </xf>
    <xf numFmtId="164" fontId="23" fillId="0" borderId="17" xfId="1" applyBorder="1"/>
    <xf numFmtId="0" fontId="23" fillId="0" borderId="10" xfId="1" applyNumberFormat="1" applyBorder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left" vertical="top" wrapText="1"/>
    </xf>
    <xf numFmtId="4" fontId="5" fillId="11" borderId="10" xfId="1" applyNumberFormat="1" applyFont="1" applyFill="1" applyBorder="1" applyAlignment="1" applyProtection="1"/>
    <xf numFmtId="166" fontId="5" fillId="11" borderId="10" xfId="0" applyNumberFormat="1" applyFont="1" applyFill="1" applyBorder="1"/>
    <xf numFmtId="4" fontId="5" fillId="9" borderId="10" xfId="1" applyNumberFormat="1" applyFont="1" applyFill="1" applyBorder="1" applyAlignment="1" applyProtection="1"/>
    <xf numFmtId="166" fontId="5" fillId="9" borderId="10" xfId="0" applyNumberFormat="1" applyFont="1" applyFill="1" applyBorder="1"/>
    <xf numFmtId="0" fontId="5" fillId="2" borderId="10" xfId="0" applyFont="1" applyFill="1" applyBorder="1" applyAlignment="1">
      <alignment horizontal="left" vertical="top" wrapText="1"/>
    </xf>
    <xf numFmtId="169" fontId="11" fillId="11" borderId="10" xfId="1" applyNumberFormat="1" applyFont="1" applyFill="1" applyBorder="1" applyAlignment="1" applyProtection="1"/>
    <xf numFmtId="169" fontId="1" fillId="0" borderId="10" xfId="1" applyNumberFormat="1" applyFont="1" applyFill="1" applyBorder="1" applyAlignment="1" applyProtection="1"/>
    <xf numFmtId="169" fontId="11" fillId="9" borderId="10" xfId="1" applyNumberFormat="1" applyFont="1" applyFill="1" applyBorder="1" applyAlignment="1" applyProtection="1"/>
    <xf numFmtId="169" fontId="11" fillId="0" borderId="10" xfId="1" applyNumberFormat="1" applyFont="1" applyFill="1" applyBorder="1" applyAlignment="1" applyProtection="1"/>
    <xf numFmtId="0" fontId="13" fillId="0" borderId="10" xfId="1" applyNumberFormat="1" applyFont="1" applyBorder="1" applyAlignment="1">
      <alignment horizontal="center"/>
    </xf>
    <xf numFmtId="0" fontId="6" fillId="0" borderId="11" xfId="0" applyFont="1" applyBorder="1"/>
    <xf numFmtId="0" fontId="6" fillId="0" borderId="19" xfId="0" applyFont="1" applyBorder="1"/>
    <xf numFmtId="0" fontId="6" fillId="0" borderId="12" xfId="0" applyFont="1" applyBorder="1"/>
    <xf numFmtId="164" fontId="6" fillId="0" borderId="12" xfId="1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/>
    <xf numFmtId="164" fontId="6" fillId="0" borderId="0" xfId="1" applyFont="1" applyBorder="1" applyAlignment="1">
      <alignment horizontal="center"/>
    </xf>
    <xf numFmtId="0" fontId="6" fillId="0" borderId="20" xfId="0" quotePrefix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1" xfId="0" applyFont="1" applyBorder="1"/>
    <xf numFmtId="164" fontId="6" fillId="0" borderId="17" xfId="1" applyFont="1" applyBorder="1"/>
    <xf numFmtId="0" fontId="6" fillId="0" borderId="18" xfId="0" applyFont="1" applyBorder="1"/>
    <xf numFmtId="169" fontId="5" fillId="11" borderId="10" xfId="1" applyNumberFormat="1" applyFont="1" applyFill="1" applyBorder="1" applyAlignment="1" applyProtection="1"/>
    <xf numFmtId="169" fontId="5" fillId="9" borderId="10" xfId="1" applyNumberFormat="1" applyFont="1" applyFill="1" applyBorder="1" applyAlignment="1" applyProtection="1"/>
    <xf numFmtId="0" fontId="29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" fontId="6" fillId="13" borderId="10" xfId="1" applyNumberFormat="1" applyFont="1" applyFill="1" applyBorder="1" applyAlignment="1" applyProtection="1"/>
    <xf numFmtId="170" fontId="13" fillId="13" borderId="10" xfId="1" applyNumberFormat="1" applyFont="1" applyFill="1" applyBorder="1" applyAlignment="1" applyProtection="1">
      <alignment vertical="center"/>
    </xf>
    <xf numFmtId="164" fontId="13" fillId="13" borderId="10" xfId="1" applyFont="1" applyFill="1" applyBorder="1" applyAlignment="1" applyProtection="1">
      <alignment vertical="center"/>
    </xf>
    <xf numFmtId="167" fontId="13" fillId="13" borderId="10" xfId="1" applyNumberFormat="1" applyFont="1" applyFill="1" applyBorder="1" applyAlignment="1" applyProtection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169" fontId="2" fillId="0" borderId="22" xfId="0" applyNumberFormat="1" applyFont="1" applyBorder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4" fontId="29" fillId="0" borderId="19" xfId="1" applyNumberFormat="1" applyFont="1" applyFill="1" applyBorder="1" applyAlignment="1">
      <alignment horizontal="right" wrapText="1"/>
    </xf>
    <xf numFmtId="4" fontId="29" fillId="0" borderId="23" xfId="1" applyNumberFormat="1" applyFont="1" applyBorder="1" applyAlignment="1">
      <alignment horizontal="right"/>
    </xf>
    <xf numFmtId="4" fontId="29" fillId="0" borderId="19" xfId="1" applyNumberFormat="1" applyFont="1" applyBorder="1" applyAlignment="1">
      <alignment horizontal="right"/>
    </xf>
    <xf numFmtId="4" fontId="29" fillId="0" borderId="19" xfId="0" applyNumberFormat="1" applyFont="1" applyBorder="1" applyAlignment="1">
      <alignment horizontal="right" vertical="center"/>
    </xf>
    <xf numFmtId="169" fontId="32" fillId="0" borderId="22" xfId="1" applyNumberFormat="1" applyFont="1" applyBorder="1" applyAlignment="1">
      <alignment horizontal="right" vertical="center"/>
    </xf>
    <xf numFmtId="0" fontId="29" fillId="0" borderId="23" xfId="0" applyFont="1" applyBorder="1" applyAlignment="1">
      <alignment horizontal="center" vertical="center"/>
    </xf>
    <xf numFmtId="0" fontId="29" fillId="0" borderId="23" xfId="0" applyFont="1" applyBorder="1" applyAlignment="1">
      <alignment vertical="center" wrapText="1"/>
    </xf>
    <xf numFmtId="166" fontId="32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4" fontId="25" fillId="0" borderId="10" xfId="0" applyNumberFormat="1" applyFont="1" applyBorder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/>
    <xf numFmtId="4" fontId="29" fillId="13" borderId="10" xfId="0" applyNumberFormat="1" applyFont="1" applyFill="1" applyBorder="1" applyAlignment="1">
      <alignment vertical="center"/>
    </xf>
    <xf numFmtId="4" fontId="29" fillId="13" borderId="10" xfId="1" applyNumberFormat="1" applyFont="1" applyFill="1" applyBorder="1" applyAlignment="1">
      <alignment vertical="center"/>
    </xf>
    <xf numFmtId="0" fontId="29" fillId="0" borderId="1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/>
    </xf>
    <xf numFmtId="172" fontId="29" fillId="0" borderId="19" xfId="1" applyNumberFormat="1" applyFont="1" applyBorder="1" applyAlignment="1">
      <alignment horizontal="right"/>
    </xf>
    <xf numFmtId="169" fontId="29" fillId="0" borderId="10" xfId="1" applyNumberFormat="1" applyFont="1" applyFill="1" applyBorder="1" applyAlignment="1">
      <alignment horizontal="right" wrapText="1"/>
    </xf>
    <xf numFmtId="169" fontId="29" fillId="0" borderId="10" xfId="1" applyNumberFormat="1" applyFont="1" applyBorder="1" applyAlignment="1">
      <alignment horizontal="right"/>
    </xf>
    <xf numFmtId="4" fontId="29" fillId="0" borderId="10" xfId="1" applyNumberFormat="1" applyFont="1" applyBorder="1" applyAlignment="1">
      <alignment horizontal="right" vertical="center"/>
    </xf>
    <xf numFmtId="4" fontId="29" fillId="0" borderId="10" xfId="1" applyNumberFormat="1" applyFont="1" applyFill="1" applyBorder="1" applyAlignment="1">
      <alignment vertical="center"/>
    </xf>
    <xf numFmtId="4" fontId="32" fillId="0" borderId="10" xfId="1" applyNumberFormat="1" applyFont="1" applyBorder="1" applyAlignment="1">
      <alignment horizontal="right" vertical="center"/>
    </xf>
    <xf numFmtId="4" fontId="32" fillId="0" borderId="10" xfId="0" applyNumberFormat="1" applyFont="1" applyBorder="1"/>
    <xf numFmtId="0" fontId="29" fillId="0" borderId="19" xfId="0" applyFont="1" applyBorder="1" applyAlignment="1">
      <alignment horizontal="left" vertical="center" wrapText="1"/>
    </xf>
    <xf numFmtId="0" fontId="43" fillId="0" borderId="0" xfId="0" applyFont="1"/>
    <xf numFmtId="0" fontId="38" fillId="0" borderId="25" xfId="0" applyFont="1" applyBorder="1"/>
    <xf numFmtId="0" fontId="38" fillId="0" borderId="22" xfId="0" applyFont="1" applyBorder="1"/>
    <xf numFmtId="0" fontId="38" fillId="0" borderId="10" xfId="0" applyFont="1" applyBorder="1" applyAlignment="1">
      <alignment horizontal="center" vertical="top" wrapText="1"/>
    </xf>
    <xf numFmtId="0" fontId="38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left" vertical="top" wrapText="1"/>
    </xf>
    <xf numFmtId="173" fontId="45" fillId="0" borderId="10" xfId="1" applyNumberFormat="1" applyFont="1" applyBorder="1"/>
    <xf numFmtId="43" fontId="45" fillId="0" borderId="10" xfId="1" applyNumberFormat="1" applyFont="1" applyBorder="1"/>
    <xf numFmtId="2" fontId="45" fillId="0" borderId="10" xfId="1" applyNumberFormat="1" applyFont="1" applyBorder="1"/>
    <xf numFmtId="43" fontId="45" fillId="0" borderId="10" xfId="1" applyNumberFormat="1" applyFont="1" applyBorder="1" applyAlignment="1">
      <alignment horizontal="center"/>
    </xf>
    <xf numFmtId="0" fontId="46" fillId="0" borderId="20" xfId="0" applyFont="1" applyBorder="1" applyAlignment="1">
      <alignment horizontal="center"/>
    </xf>
    <xf numFmtId="0" fontId="46" fillId="0" borderId="22" xfId="0" applyFont="1" applyBorder="1" applyAlignment="1">
      <alignment horizontal="center"/>
    </xf>
    <xf numFmtId="0" fontId="46" fillId="0" borderId="10" xfId="0" applyFont="1" applyBorder="1" applyAlignment="1">
      <alignment horizontal="left" vertical="top" wrapText="1"/>
    </xf>
    <xf numFmtId="173" fontId="46" fillId="0" borderId="10" xfId="1" applyNumberFormat="1" applyFont="1" applyFill="1" applyBorder="1"/>
    <xf numFmtId="43" fontId="46" fillId="0" borderId="10" xfId="1" applyNumberFormat="1" applyFont="1" applyFill="1" applyBorder="1"/>
    <xf numFmtId="2" fontId="46" fillId="0" borderId="10" xfId="1" applyNumberFormat="1" applyFont="1" applyFill="1" applyBorder="1"/>
    <xf numFmtId="2" fontId="46" fillId="0" borderId="10" xfId="1" applyNumberFormat="1" applyFont="1" applyBorder="1"/>
    <xf numFmtId="2" fontId="46" fillId="0" borderId="24" xfId="1" applyNumberFormat="1" applyFont="1" applyBorder="1"/>
    <xf numFmtId="43" fontId="46" fillId="0" borderId="10" xfId="1" applyNumberFormat="1" applyFont="1" applyBorder="1" applyAlignment="1">
      <alignment horizontal="center"/>
    </xf>
    <xf numFmtId="173" fontId="45" fillId="0" borderId="24" xfId="1" applyNumberFormat="1" applyFont="1" applyBorder="1"/>
    <xf numFmtId="43" fontId="45" fillId="0" borderId="24" xfId="1" applyNumberFormat="1" applyFont="1" applyBorder="1"/>
    <xf numFmtId="2" fontId="45" fillId="0" borderId="24" xfId="1" applyNumberFormat="1" applyFont="1" applyBorder="1"/>
    <xf numFmtId="173" fontId="46" fillId="0" borderId="24" xfId="1" applyNumberFormat="1" applyFont="1" applyFill="1" applyBorder="1"/>
    <xf numFmtId="43" fontId="46" fillId="0" borderId="24" xfId="1" applyNumberFormat="1" applyFont="1" applyFill="1" applyBorder="1"/>
    <xf numFmtId="0" fontId="45" fillId="0" borderId="22" xfId="0" applyFont="1" applyBorder="1" applyAlignment="1">
      <alignment horizontal="center"/>
    </xf>
    <xf numFmtId="173" fontId="45" fillId="0" borderId="24" xfId="1" applyNumberFormat="1" applyFont="1" applyFill="1" applyBorder="1"/>
    <xf numFmtId="43" fontId="45" fillId="0" borderId="24" xfId="1" applyNumberFormat="1" applyFont="1" applyFill="1" applyBorder="1"/>
    <xf numFmtId="4" fontId="45" fillId="0" borderId="24" xfId="1" applyNumberFormat="1" applyFont="1" applyFill="1" applyBorder="1" applyAlignment="1">
      <alignment horizontal="center"/>
    </xf>
    <xf numFmtId="4" fontId="46" fillId="0" borderId="24" xfId="1" applyNumberFormat="1" applyFont="1" applyFill="1" applyBorder="1" applyAlignment="1">
      <alignment horizontal="center"/>
    </xf>
    <xf numFmtId="0" fontId="46" fillId="0" borderId="1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173" fontId="5" fillId="0" borderId="24" xfId="0" applyNumberFormat="1" applyFont="1" applyBorder="1" applyAlignment="1">
      <alignment horizontal="center"/>
    </xf>
    <xf numFmtId="43" fontId="5" fillId="0" borderId="24" xfId="0" applyNumberFormat="1" applyFont="1" applyBorder="1" applyAlignment="1">
      <alignment horizontal="center"/>
    </xf>
    <xf numFmtId="174" fontId="5" fillId="0" borderId="10" xfId="1" applyNumberFormat="1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43" fontId="6" fillId="0" borderId="24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43" fontId="6" fillId="0" borderId="24" xfId="1" applyNumberFormat="1" applyFont="1" applyBorder="1" applyAlignment="1">
      <alignment horizontal="center"/>
    </xf>
    <xf numFmtId="174" fontId="6" fillId="0" borderId="10" xfId="1" applyNumberFormat="1" applyFont="1" applyBorder="1" applyAlignment="1">
      <alignment horizontal="center"/>
    </xf>
    <xf numFmtId="173" fontId="5" fillId="0" borderId="24" xfId="1" applyNumberFormat="1" applyFont="1" applyBorder="1"/>
    <xf numFmtId="43" fontId="5" fillId="0" borderId="24" xfId="1" applyNumberFormat="1" applyFont="1" applyBorder="1"/>
    <xf numFmtId="0" fontId="6" fillId="0" borderId="13" xfId="0" applyFont="1" applyBorder="1" applyAlignment="1">
      <alignment horizontal="center" vertical="center"/>
    </xf>
    <xf numFmtId="173" fontId="6" fillId="0" borderId="24" xfId="1" applyNumberFormat="1" applyFont="1" applyBorder="1"/>
    <xf numFmtId="43" fontId="6" fillId="0" borderId="24" xfId="1" applyNumberFormat="1" applyFont="1" applyBorder="1"/>
    <xf numFmtId="0" fontId="6" fillId="0" borderId="18" xfId="0" applyFont="1" applyBorder="1" applyAlignment="1">
      <alignment horizontal="center" vertical="center"/>
    </xf>
    <xf numFmtId="43" fontId="6" fillId="0" borderId="24" xfId="1" quotePrefix="1" applyNumberFormat="1" applyFont="1" applyBorder="1"/>
    <xf numFmtId="4" fontId="25" fillId="0" borderId="0" xfId="0" applyNumberFormat="1" applyFont="1"/>
    <xf numFmtId="4" fontId="25" fillId="0" borderId="10" xfId="1" applyNumberFormat="1" applyFont="1" applyFill="1" applyBorder="1" applyAlignment="1" applyProtection="1">
      <alignment horizontal="right"/>
    </xf>
    <xf numFmtId="0" fontId="25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3" fontId="9" fillId="0" borderId="0" xfId="0" applyNumberFormat="1" applyFont="1"/>
    <xf numFmtId="164" fontId="24" fillId="0" borderId="10" xfId="1" applyFont="1" applyFill="1" applyBorder="1" applyAlignment="1" applyProtection="1"/>
    <xf numFmtId="0" fontId="6" fillId="0" borderId="10" xfId="0" applyFont="1" applyBorder="1"/>
    <xf numFmtId="0" fontId="39" fillId="0" borderId="10" xfId="0" applyFont="1" applyBorder="1" applyAlignment="1">
      <alignment horizontal="center"/>
    </xf>
    <xf numFmtId="4" fontId="18" fillId="0" borderId="0" xfId="0" applyNumberFormat="1" applyFont="1"/>
    <xf numFmtId="4" fontId="15" fillId="0" borderId="0" xfId="0" applyNumberFormat="1" applyFont="1" applyAlignment="1">
      <alignment horizontal="center"/>
    </xf>
    <xf numFmtId="4" fontId="11" fillId="0" borderId="1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168" fontId="6" fillId="0" borderId="10" xfId="0" applyNumberFormat="1" applyFont="1" applyBorder="1" applyAlignment="1">
      <alignment horizontal="right" wrapText="1"/>
    </xf>
    <xf numFmtId="0" fontId="6" fillId="0" borderId="19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3" fontId="4" fillId="0" borderId="10" xfId="0" applyNumberFormat="1" applyFont="1" applyBorder="1" applyAlignment="1">
      <alignment horizontal="center"/>
    </xf>
    <xf numFmtId="4" fontId="0" fillId="0" borderId="0" xfId="0" applyNumberFormat="1" applyBorder="1"/>
    <xf numFmtId="168" fontId="6" fillId="0" borderId="0" xfId="0" applyNumberFormat="1" applyFont="1" applyFill="1" applyBorder="1" applyAlignment="1">
      <alignment horizontal="right" vertical="center"/>
    </xf>
    <xf numFmtId="173" fontId="43" fillId="0" borderId="0" xfId="1" applyNumberFormat="1" applyFont="1"/>
    <xf numFmtId="0" fontId="43" fillId="13" borderId="10" xfId="0" applyFont="1" applyFill="1" applyBorder="1" applyAlignment="1">
      <alignment horizontal="center" vertical="center"/>
    </xf>
    <xf numFmtId="0" fontId="43" fillId="13" borderId="10" xfId="2" applyFont="1" applyFill="1" applyBorder="1" applyAlignment="1">
      <alignment horizontal="left" wrapText="1"/>
    </xf>
    <xf numFmtId="173" fontId="44" fillId="13" borderId="10" xfId="1" applyNumberFormat="1" applyFont="1" applyFill="1" applyBorder="1" applyAlignment="1">
      <alignment horizontal="left" wrapText="1"/>
    </xf>
    <xf numFmtId="171" fontId="45" fillId="13" borderId="10" xfId="1" applyNumberFormat="1" applyFont="1" applyFill="1" applyBorder="1" applyAlignment="1">
      <alignment horizontal="right" wrapText="1"/>
    </xf>
    <xf numFmtId="173" fontId="38" fillId="13" borderId="10" xfId="1" applyNumberFormat="1" applyFont="1" applyFill="1" applyBorder="1" applyAlignment="1">
      <alignment horizontal="left" wrapText="1"/>
    </xf>
    <xf numFmtId="171" fontId="46" fillId="13" borderId="10" xfId="1" applyNumberFormat="1" applyFont="1" applyFill="1" applyBorder="1" applyAlignment="1">
      <alignment horizontal="right" wrapText="1"/>
    </xf>
    <xf numFmtId="171" fontId="46" fillId="13" borderId="10" xfId="1" applyNumberFormat="1" applyFont="1" applyFill="1" applyBorder="1" applyAlignment="1">
      <alignment horizontal="right"/>
    </xf>
    <xf numFmtId="0" fontId="43" fillId="0" borderId="1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wrapText="1"/>
    </xf>
    <xf numFmtId="173" fontId="44" fillId="0" borderId="10" xfId="1" applyNumberFormat="1" applyFont="1" applyFill="1" applyBorder="1" applyAlignment="1">
      <alignment horizontal="left" wrapText="1"/>
    </xf>
    <xf numFmtId="171" fontId="45" fillId="0" borderId="10" xfId="1" applyNumberFormat="1" applyFont="1" applyFill="1" applyBorder="1" applyAlignment="1">
      <alignment horizontal="right" wrapText="1"/>
    </xf>
    <xf numFmtId="0" fontId="43" fillId="0" borderId="10" xfId="2" applyFont="1" applyFill="1" applyBorder="1" applyAlignment="1">
      <alignment horizontal="left" wrapText="1"/>
    </xf>
    <xf numFmtId="171" fontId="46" fillId="0" borderId="10" xfId="1" applyNumberFormat="1" applyFont="1" applyFill="1" applyBorder="1" applyAlignment="1">
      <alignment horizontal="right" wrapText="1"/>
    </xf>
    <xf numFmtId="0" fontId="43" fillId="13" borderId="10" xfId="0" applyFont="1" applyFill="1" applyBorder="1" applyAlignment="1">
      <alignment horizontal="left" wrapText="1"/>
    </xf>
    <xf numFmtId="0" fontId="43" fillId="13" borderId="10" xfId="0" applyFont="1" applyFill="1" applyBorder="1" applyAlignment="1">
      <alignment vertical="center" wrapText="1"/>
    </xf>
    <xf numFmtId="0" fontId="43" fillId="0" borderId="19" xfId="0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vertical="center" wrapText="1"/>
    </xf>
    <xf numFmtId="171" fontId="46" fillId="0" borderId="10" xfId="1" applyNumberFormat="1" applyFont="1" applyBorder="1" applyAlignment="1">
      <alignment horizontal="right" wrapText="1"/>
    </xf>
    <xf numFmtId="171" fontId="39" fillId="0" borderId="10" xfId="0" applyNumberFormat="1" applyFont="1" applyBorder="1" applyAlignment="1">
      <alignment horizontal="center"/>
    </xf>
    <xf numFmtId="171" fontId="39" fillId="0" borderId="10" xfId="1" applyNumberFormat="1" applyFont="1" applyBorder="1" applyAlignment="1">
      <alignment horizontal="center"/>
    </xf>
    <xf numFmtId="0" fontId="43" fillId="0" borderId="10" xfId="0" applyFont="1" applyFill="1" applyBorder="1" applyAlignment="1">
      <alignment vertical="center" wrapText="1"/>
    </xf>
    <xf numFmtId="0" fontId="43" fillId="0" borderId="11" xfId="0" applyFont="1" applyFill="1" applyBorder="1"/>
    <xf numFmtId="0" fontId="43" fillId="0" borderId="12" xfId="0" applyFont="1" applyFill="1" applyBorder="1"/>
    <xf numFmtId="0" fontId="43" fillId="0" borderId="13" xfId="0" applyFont="1" applyFill="1" applyBorder="1"/>
    <xf numFmtId="173" fontId="44" fillId="0" borderId="22" xfId="1" applyNumberFormat="1" applyFont="1" applyFill="1" applyBorder="1" applyAlignment="1">
      <alignment horizontal="left" wrapText="1"/>
    </xf>
    <xf numFmtId="0" fontId="43" fillId="0" borderId="14" xfId="0" applyFont="1" applyFill="1" applyBorder="1"/>
    <xf numFmtId="0" fontId="43" fillId="0" borderId="0" xfId="0" applyFont="1" applyFill="1" applyBorder="1"/>
    <xf numFmtId="0" fontId="43" fillId="0" borderId="15" xfId="0" applyFont="1" applyFill="1" applyBorder="1"/>
    <xf numFmtId="0" fontId="43" fillId="0" borderId="16" xfId="0" applyFont="1" applyFill="1" applyBorder="1"/>
    <xf numFmtId="0" fontId="43" fillId="0" borderId="17" xfId="0" applyFont="1" applyFill="1" applyBorder="1"/>
    <xf numFmtId="0" fontId="43" fillId="0" borderId="18" xfId="0" applyFont="1" applyFill="1" applyBorder="1"/>
    <xf numFmtId="169" fontId="45" fillId="13" borderId="10" xfId="1" applyNumberFormat="1" applyFont="1" applyFill="1" applyBorder="1" applyAlignment="1">
      <alignment horizontal="right" wrapText="1"/>
    </xf>
    <xf numFmtId="169" fontId="46" fillId="13" borderId="10" xfId="1" applyNumberFormat="1" applyFont="1" applyFill="1" applyBorder="1" applyAlignment="1">
      <alignment horizontal="right" wrapText="1"/>
    </xf>
    <xf numFmtId="169" fontId="46" fillId="13" borderId="10" xfId="1" applyNumberFormat="1" applyFont="1" applyFill="1" applyBorder="1" applyAlignment="1">
      <alignment horizontal="right"/>
    </xf>
    <xf numFmtId="169" fontId="45" fillId="0" borderId="10" xfId="1" applyNumberFormat="1" applyFont="1" applyFill="1" applyBorder="1" applyAlignment="1">
      <alignment horizontal="right" wrapText="1"/>
    </xf>
    <xf numFmtId="169" fontId="46" fillId="0" borderId="10" xfId="1" applyNumberFormat="1" applyFont="1" applyFill="1" applyBorder="1" applyAlignment="1">
      <alignment horizontal="right" wrapText="1"/>
    </xf>
    <xf numFmtId="169" fontId="5" fillId="13" borderId="10" xfId="1" applyNumberFormat="1" applyFont="1" applyFill="1" applyBorder="1" applyAlignment="1">
      <alignment horizontal="right" wrapText="1"/>
    </xf>
    <xf numFmtId="0" fontId="1" fillId="0" borderId="10" xfId="0" quotePrefix="1" applyFont="1" applyBorder="1" applyAlignment="1">
      <alignment horizontal="center"/>
    </xf>
    <xf numFmtId="170" fontId="1" fillId="0" borderId="0" xfId="1" applyNumberFormat="1" applyFont="1" applyFill="1" applyBorder="1" applyAlignment="1" applyProtection="1"/>
    <xf numFmtId="170" fontId="1" fillId="0" borderId="6" xfId="1" applyNumberFormat="1" applyFont="1" applyFill="1" applyBorder="1" applyAlignment="1" applyProtection="1"/>
    <xf numFmtId="170" fontId="1" fillId="0" borderId="5" xfId="1" applyNumberFormat="1" applyFont="1" applyFill="1" applyBorder="1" applyAlignment="1" applyProtection="1"/>
    <xf numFmtId="0" fontId="20" fillId="0" borderId="3" xfId="0" quotePrefix="1" applyFont="1" applyBorder="1"/>
    <xf numFmtId="170" fontId="6" fillId="0" borderId="10" xfId="0" applyNumberFormat="1" applyFont="1" applyBorder="1" applyAlignment="1">
      <alignment horizontal="right"/>
    </xf>
    <xf numFmtId="170" fontId="6" fillId="0" borderId="10" xfId="1" applyNumberFormat="1" applyFont="1" applyFill="1" applyBorder="1" applyAlignment="1" applyProtection="1"/>
    <xf numFmtId="4" fontId="30" fillId="0" borderId="10" xfId="1" applyNumberFormat="1" applyFont="1" applyFill="1" applyBorder="1" applyAlignment="1" applyProtection="1"/>
    <xf numFmtId="4" fontId="30" fillId="19" borderId="10" xfId="1" applyNumberFormat="1" applyFont="1" applyFill="1" applyBorder="1" applyAlignment="1" applyProtection="1"/>
    <xf numFmtId="0" fontId="30" fillId="19" borderId="10" xfId="0" applyFont="1" applyFill="1" applyBorder="1" applyAlignment="1">
      <alignment vertical="top" wrapText="1"/>
    </xf>
    <xf numFmtId="4" fontId="30" fillId="20" borderId="10" xfId="1" applyNumberFormat="1" applyFont="1" applyFill="1" applyBorder="1" applyAlignment="1" applyProtection="1"/>
    <xf numFmtId="0" fontId="27" fillId="0" borderId="10" xfId="0" applyFont="1" applyFill="1" applyBorder="1" applyAlignment="1">
      <alignment wrapText="1"/>
    </xf>
    <xf numFmtId="171" fontId="4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43" fillId="13" borderId="10" xfId="0" applyFont="1" applyFill="1" applyBorder="1" applyAlignment="1">
      <alignment horizontal="center" vertical="center"/>
    </xf>
    <xf numFmtId="169" fontId="46" fillId="0" borderId="10" xfId="1" applyNumberFormat="1" applyFont="1" applyBorder="1" applyAlignment="1">
      <alignment horizontal="right" wrapText="1"/>
    </xf>
    <xf numFmtId="169" fontId="46" fillId="0" borderId="10" xfId="1" applyNumberFormat="1" applyFont="1" applyBorder="1" applyAlignment="1">
      <alignment horizontal="right"/>
    </xf>
    <xf numFmtId="0" fontId="39" fillId="0" borderId="10" xfId="1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/>
    </xf>
    <xf numFmtId="0" fontId="13" fillId="0" borderId="19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2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2" fontId="29" fillId="0" borderId="20" xfId="0" applyNumberFormat="1" applyFont="1" applyBorder="1" applyAlignment="1">
      <alignment horizontal="center" vertical="center"/>
    </xf>
    <xf numFmtId="2" fontId="29" fillId="0" borderId="2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31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69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left"/>
    </xf>
    <xf numFmtId="2" fontId="13" fillId="0" borderId="10" xfId="0" applyNumberFormat="1" applyFont="1" applyBorder="1" applyAlignment="1">
      <alignment horizontal="center"/>
    </xf>
    <xf numFmtId="2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6" fillId="0" borderId="10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" fontId="25" fillId="0" borderId="19" xfId="0" applyNumberFormat="1" applyFont="1" applyBorder="1" applyAlignment="1">
      <alignment horizontal="center"/>
    </xf>
    <xf numFmtId="4" fontId="25" fillId="0" borderId="20" xfId="0" applyNumberFormat="1" applyFont="1" applyBorder="1" applyAlignment="1">
      <alignment horizontal="center"/>
    </xf>
    <xf numFmtId="4" fontId="25" fillId="0" borderId="2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top" wrapText="1"/>
    </xf>
    <xf numFmtId="0" fontId="38" fillId="0" borderId="24" xfId="0" applyFont="1" applyBorder="1" applyAlignment="1">
      <alignment horizontal="left"/>
    </xf>
    <xf numFmtId="0" fontId="38" fillId="0" borderId="25" xfId="0" applyFont="1" applyBorder="1" applyAlignment="1">
      <alignment horizontal="left"/>
    </xf>
    <xf numFmtId="0" fontId="38" fillId="0" borderId="10" xfId="0" applyFont="1" applyBorder="1" applyAlignment="1">
      <alignment horizont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left"/>
    </xf>
    <xf numFmtId="0" fontId="38" fillId="0" borderId="2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top" wrapText="1"/>
    </xf>
    <xf numFmtId="0" fontId="38" fillId="0" borderId="19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top"/>
    </xf>
    <xf numFmtId="0" fontId="12" fillId="0" borderId="21" xfId="0" applyFont="1" applyFill="1" applyBorder="1" applyAlignment="1">
      <alignment horizontal="center" vertical="top"/>
    </xf>
    <xf numFmtId="164" fontId="1" fillId="0" borderId="0" xfId="1" applyFont="1" applyFill="1" applyBorder="1" applyAlignment="1" applyProtection="1">
      <alignment horizontal="center"/>
    </xf>
    <xf numFmtId="0" fontId="13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70" fontId="13" fillId="0" borderId="10" xfId="0" applyNumberFormat="1" applyFont="1" applyBorder="1" applyAlignment="1">
      <alignment horizontal="center" wrapText="1"/>
    </xf>
    <xf numFmtId="164" fontId="13" fillId="0" borderId="10" xfId="1" applyFont="1" applyFill="1" applyBorder="1" applyAlignment="1" applyProtection="1">
      <alignment horizontal="center" wrapText="1"/>
    </xf>
    <xf numFmtId="0" fontId="12" fillId="0" borderId="20" xfId="0" applyFont="1" applyFill="1" applyBorder="1" applyAlignment="1">
      <alignment horizontal="center" vertical="top"/>
    </xf>
    <xf numFmtId="0" fontId="1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3" fillId="0" borderId="1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 wrapText="1"/>
    </xf>
    <xf numFmtId="0" fontId="43" fillId="0" borderId="19" xfId="0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center" vertical="center" wrapText="1"/>
    </xf>
    <xf numFmtId="0" fontId="43" fillId="13" borderId="19" xfId="0" applyFont="1" applyFill="1" applyBorder="1" applyAlignment="1">
      <alignment horizontal="center" vertical="center"/>
    </xf>
    <xf numFmtId="0" fontId="43" fillId="13" borderId="20" xfId="0" applyFont="1" applyFill="1" applyBorder="1" applyAlignment="1">
      <alignment horizontal="center" vertical="center"/>
    </xf>
    <xf numFmtId="0" fontId="43" fillId="13" borderId="21" xfId="0" applyFont="1" applyFill="1" applyBorder="1" applyAlignment="1">
      <alignment horizontal="center" vertical="center"/>
    </xf>
    <xf numFmtId="0" fontId="43" fillId="13" borderId="10" xfId="0" applyFont="1" applyFill="1" applyBorder="1" applyAlignment="1">
      <alignment horizontal="center" vertical="center"/>
    </xf>
    <xf numFmtId="0" fontId="43" fillId="13" borderId="10" xfId="0" applyFont="1" applyFill="1" applyBorder="1" applyAlignment="1">
      <alignment horizontal="center" vertical="center" wrapText="1"/>
    </xf>
    <xf numFmtId="0" fontId="43" fillId="13" borderId="10" xfId="0" applyFont="1" applyFill="1" applyBorder="1" applyAlignment="1">
      <alignment horizontal="left" vertical="center" wrapText="1"/>
    </xf>
    <xf numFmtId="0" fontId="39" fillId="0" borderId="10" xfId="0" applyFont="1" applyBorder="1" applyAlignment="1">
      <alignment horizontal="center"/>
    </xf>
    <xf numFmtId="0" fontId="43" fillId="13" borderId="19" xfId="0" applyFont="1" applyFill="1" applyBorder="1" applyAlignment="1">
      <alignment horizontal="center" vertical="center" wrapText="1"/>
    </xf>
    <xf numFmtId="0" fontId="43" fillId="13" borderId="20" xfId="0" applyFont="1" applyFill="1" applyBorder="1" applyAlignment="1">
      <alignment horizontal="center" vertical="center" wrapText="1"/>
    </xf>
    <xf numFmtId="0" fontId="43" fillId="13" borderId="21" xfId="0" applyFont="1" applyFill="1" applyBorder="1" applyAlignment="1">
      <alignment horizontal="center" vertical="center" wrapText="1"/>
    </xf>
    <xf numFmtId="0" fontId="43" fillId="13" borderId="19" xfId="2" applyFont="1" applyFill="1" applyBorder="1" applyAlignment="1">
      <alignment horizontal="left" vertical="center" wrapText="1"/>
    </xf>
    <xf numFmtId="0" fontId="43" fillId="13" borderId="21" xfId="2" applyFont="1" applyFill="1" applyBorder="1" applyAlignment="1">
      <alignment horizontal="left" vertical="center" wrapText="1"/>
    </xf>
    <xf numFmtId="0" fontId="47" fillId="0" borderId="0" xfId="0" applyFont="1" applyAlignment="1">
      <alignment horizontal="center" wrapText="1"/>
    </xf>
    <xf numFmtId="173" fontId="38" fillId="0" borderId="19" xfId="1" applyNumberFormat="1" applyFont="1" applyFill="1" applyBorder="1" applyAlignment="1">
      <alignment horizontal="center" wrapText="1"/>
    </xf>
    <xf numFmtId="173" fontId="38" fillId="0" borderId="21" xfId="1" applyNumberFormat="1" applyFont="1" applyFill="1" applyBorder="1" applyAlignment="1">
      <alignment horizontal="center" wrapText="1"/>
    </xf>
    <xf numFmtId="169" fontId="46" fillId="0" borderId="19" xfId="1" applyNumberFormat="1" applyFont="1" applyFill="1" applyBorder="1" applyAlignment="1">
      <alignment horizontal="center" wrapText="1"/>
    </xf>
    <xf numFmtId="169" fontId="46" fillId="0" borderId="21" xfId="1" applyNumberFormat="1" applyFont="1" applyFill="1" applyBorder="1" applyAlignment="1">
      <alignment horizontal="center" wrapText="1"/>
    </xf>
    <xf numFmtId="169" fontId="46" fillId="13" borderId="19" xfId="1" applyNumberFormat="1" applyFont="1" applyFill="1" applyBorder="1" applyAlignment="1">
      <alignment horizontal="center"/>
    </xf>
    <xf numFmtId="169" fontId="46" fillId="13" borderId="21" xfId="1" applyNumberFormat="1" applyFont="1" applyFill="1" applyBorder="1" applyAlignment="1">
      <alignment horizontal="center"/>
    </xf>
    <xf numFmtId="0" fontId="43" fillId="0" borderId="19" xfId="2" applyFont="1" applyFill="1" applyBorder="1" applyAlignment="1">
      <alignment horizontal="left" wrapText="1"/>
    </xf>
    <xf numFmtId="0" fontId="43" fillId="0" borderId="21" xfId="2" applyFont="1" applyFill="1" applyBorder="1" applyAlignment="1">
      <alignment horizontal="left" wrapText="1"/>
    </xf>
    <xf numFmtId="0" fontId="43" fillId="0" borderId="21" xfId="0" applyFont="1" applyFill="1" applyBorder="1" applyAlignment="1">
      <alignment horizontal="center" vertical="center" wrapText="1"/>
    </xf>
    <xf numFmtId="0" fontId="43" fillId="0" borderId="19" xfId="2" applyFont="1" applyFill="1" applyBorder="1" applyAlignment="1">
      <alignment horizontal="left" vertical="top" wrapText="1"/>
    </xf>
    <xf numFmtId="0" fontId="43" fillId="0" borderId="21" xfId="2" applyFont="1" applyFill="1" applyBorder="1" applyAlignment="1">
      <alignment horizontal="left" vertical="top" wrapText="1"/>
    </xf>
    <xf numFmtId="0" fontId="43" fillId="0" borderId="21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horizontal="center" vertical="center" wrapText="1"/>
    </xf>
    <xf numFmtId="0" fontId="39" fillId="0" borderId="24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38" fillId="0" borderId="11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wrapText="1"/>
    </xf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480" b="1" i="0" u="none" strike="noStrike" baseline="0">
                <a:solidFill>
                  <a:srgbClr val="000000"/>
                </a:solidFill>
                <a:latin typeface="Times New Roman" pitchFamily="18" charset="0"/>
                <a:ea typeface="Times New Roman CE"/>
                <a:cs typeface="Times New Roman" pitchFamily="18" charset="0"/>
              </a:defRPr>
            </a:pPr>
            <a:r>
              <a:rPr lang="pl-PL">
                <a:latin typeface="Times New Roman" pitchFamily="18" charset="0"/>
                <a:cs typeface="Times New Roman" pitchFamily="18" charset="0"/>
              </a:rPr>
              <a:t>Struktura dochodów Powiatu Białogardzkiego
 w 2009 roku</a:t>
            </a:r>
          </a:p>
        </c:rich>
      </c:tx>
      <c:layout>
        <c:manualLayout>
          <c:xMode val="edge"/>
          <c:yMode val="edge"/>
          <c:x val="0.18597410194508421"/>
          <c:y val="4.4703574424331427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883392101239907"/>
                  <c:y val="3.46608742872658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 pitchFamily="18" charset="0"/>
                        <a:ea typeface="Arial CE"/>
                        <a:cs typeface="Arial CE"/>
                      </a:defRPr>
                    </a:pPr>
                    <a:r>
                      <a:rPr lang="pl-PL" sz="1000" baseline="0">
                        <a:latin typeface="Times New Roman" pitchFamily="18" charset="0"/>
                      </a:rPr>
                      <a:t> DOTACJE 53</a:t>
                    </a:r>
                    <a:r>
                      <a:rPr lang="en-US" sz="1000" baseline="0">
                        <a:latin typeface="Times New Roman" pitchFamily="18" charset="0"/>
                      </a:rPr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CatName val="1"/>
              <c:showPercent val="1"/>
            </c:dLbl>
            <c:dLbl>
              <c:idx val="1"/>
              <c:layout>
                <c:manualLayout>
                  <c:x val="0.18699523670652354"/>
                  <c:y val="-0.2287533713458232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 pitchFamily="18" charset="0"/>
                      <a:ea typeface="Arial CE"/>
                      <a:cs typeface="Arial CE"/>
                    </a:defRPr>
                  </a:pPr>
                  <a:endParaRPr lang="pl-PL"/>
                </a:p>
              </c:txPr>
              <c:showCatName val="1"/>
              <c:showPercent val="1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 pitchFamily="18" charset="0"/>
                      <a:ea typeface="Arial CE"/>
                      <a:cs typeface="Arial CE"/>
                    </a:defRPr>
                  </a:pPr>
                  <a:endParaRPr lang="pl-PL"/>
                </a:p>
              </c:txPr>
            </c:dLbl>
            <c:txPr>
              <a:bodyPr/>
              <a:lstStyle/>
              <a:p>
                <a:pPr>
                  <a:defRPr sz="1000" baseline="0">
                    <a:latin typeface="Times New Roman" pitchFamily="18" charset="0"/>
                  </a:defRPr>
                </a:pPr>
                <a:endParaRPr lang="pl-PL"/>
              </a:p>
            </c:txPr>
            <c:showCatName val="1"/>
            <c:showPercent val="1"/>
          </c:dLbls>
          <c:cat>
            <c:strRef>
              <c:f>'wyk1'!$A$1:$A$3</c:f>
              <c:strCache>
                <c:ptCount val="3"/>
                <c:pt idx="0">
                  <c:v>DOTACJE </c:v>
                </c:pt>
                <c:pt idx="1">
                  <c:v>SUBWENCJE</c:v>
                </c:pt>
                <c:pt idx="2">
                  <c:v>DOCHODY WŁASNE</c:v>
                </c:pt>
              </c:strCache>
            </c:strRef>
          </c:cat>
          <c:val>
            <c:numRef>
              <c:f>'wyk1'!$B$1:$B$3</c:f>
              <c:numCache>
                <c:formatCode>\ #,##0"      ";\-#,##0"      ";" -"#"      ";@\ </c:formatCode>
                <c:ptCount val="3"/>
                <c:pt idx="0">
                  <c:v>14878783.43</c:v>
                </c:pt>
                <c:pt idx="1">
                  <c:v>25566298</c:v>
                </c:pt>
                <c:pt idx="2">
                  <c:v>8634829.6899999995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0278" r="0.75000000000000278" t="1" header="0.49212598450000133" footer="0.4921259845000013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26"/>
  <c:chart>
    <c:plotArea>
      <c:layout>
        <c:manualLayout>
          <c:layoutTarget val="inner"/>
          <c:xMode val="edge"/>
          <c:yMode val="edge"/>
          <c:x val="0.16877493438757241"/>
          <c:y val="0.29087864016998116"/>
          <c:w val="0.5032740487468701"/>
          <c:h val="0.59813710786151453"/>
        </c:manualLayout>
      </c:layout>
      <c:doughnutChart>
        <c:varyColors val="1"/>
        <c:ser>
          <c:idx val="0"/>
          <c:order val="0"/>
          <c:cat>
            <c:strRef>
              <c:f>'wyk1'!$A$25:$A$26</c:f>
              <c:strCache>
                <c:ptCount val="2"/>
                <c:pt idx="0">
                  <c:v>DOCHODY BIEŻĄCE</c:v>
                </c:pt>
                <c:pt idx="1">
                  <c:v>DOCHODY MAJĄTKOWE</c:v>
                </c:pt>
              </c:strCache>
            </c:strRef>
          </c:cat>
          <c:val>
            <c:numRef>
              <c:f>'wyk1'!$B$25:$B$26</c:f>
              <c:numCache>
                <c:formatCode>\ #,##0"      ";\-#,##0"      ";" -"#"      ";@\ </c:formatCode>
                <c:ptCount val="2"/>
                <c:pt idx="0">
                  <c:v>46042465.25999999</c:v>
                </c:pt>
                <c:pt idx="1">
                  <c:v>3037445.8600000003</c:v>
                </c:pt>
              </c:numCache>
            </c:numRef>
          </c:val>
        </c:ser>
        <c:firstSliceAng val="0"/>
        <c:holeSize val="50"/>
      </c:doughnutChart>
    </c:plotArea>
    <c:legend>
      <c:legendPos val="r"/>
    </c:legend>
    <c:plotVisOnly val="1"/>
  </c:chart>
  <c:spPr>
    <a:ln w="12700">
      <a:solidFill>
        <a:schemeClr val="tx1"/>
      </a:solidFill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415996969450949"/>
          <c:y val="0.13803412073490814"/>
          <c:w val="0.81980337509357892"/>
          <c:h val="0.77626318301121333"/>
        </c:manualLayout>
      </c:layout>
      <c:barChart>
        <c:barDir val="col"/>
        <c:grouping val="clustered"/>
        <c:ser>
          <c:idx val="0"/>
          <c:order val="0"/>
          <c:tx>
            <c:v>Plan</c:v>
          </c:tx>
          <c:cat>
            <c:strRef>
              <c:f>'wyk2'!$A$3:$A$18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150</c:v>
                </c:pt>
                <c:pt idx="3">
                  <c:v>600</c:v>
                </c:pt>
                <c:pt idx="4">
                  <c:v>700</c:v>
                </c:pt>
                <c:pt idx="5">
                  <c:v>710</c:v>
                </c:pt>
                <c:pt idx="6">
                  <c:v>750</c:v>
                </c:pt>
                <c:pt idx="7">
                  <c:v>754</c:v>
                </c:pt>
                <c:pt idx="8">
                  <c:v>756</c:v>
                </c:pt>
                <c:pt idx="9">
                  <c:v>758</c:v>
                </c:pt>
                <c:pt idx="10">
                  <c:v>801</c:v>
                </c:pt>
                <c:pt idx="11">
                  <c:v>851</c:v>
                </c:pt>
                <c:pt idx="12">
                  <c:v>852</c:v>
                </c:pt>
                <c:pt idx="13">
                  <c:v>853</c:v>
                </c:pt>
                <c:pt idx="14">
                  <c:v>854</c:v>
                </c:pt>
                <c:pt idx="15">
                  <c:v>926</c:v>
                </c:pt>
              </c:strCache>
            </c:strRef>
          </c:cat>
          <c:val>
            <c:numRef>
              <c:f>'wyk2'!$B$3:$B$18</c:f>
              <c:numCache>
                <c:formatCode>_-* #,##0\ _z_ł_-;\-* #,##0\ _z_ł_-;_-* "-"??\ _z_ł_-;_-@_-</c:formatCode>
                <c:ptCount val="16"/>
                <c:pt idx="0">
                  <c:v>84000</c:v>
                </c:pt>
                <c:pt idx="1">
                  <c:v>269953</c:v>
                </c:pt>
                <c:pt idx="2">
                  <c:v>5850</c:v>
                </c:pt>
                <c:pt idx="3">
                  <c:v>1843272</c:v>
                </c:pt>
                <c:pt idx="4">
                  <c:v>1146344</c:v>
                </c:pt>
                <c:pt idx="5">
                  <c:v>347167</c:v>
                </c:pt>
                <c:pt idx="6">
                  <c:v>351464</c:v>
                </c:pt>
                <c:pt idx="7">
                  <c:v>2996134</c:v>
                </c:pt>
                <c:pt idx="8">
                  <c:v>6484315</c:v>
                </c:pt>
                <c:pt idx="9">
                  <c:v>25682567</c:v>
                </c:pt>
                <c:pt idx="10">
                  <c:v>407155.68</c:v>
                </c:pt>
                <c:pt idx="11">
                  <c:v>2405042</c:v>
                </c:pt>
                <c:pt idx="12">
                  <c:v>4753058</c:v>
                </c:pt>
                <c:pt idx="13">
                  <c:v>1940782.8</c:v>
                </c:pt>
                <c:pt idx="14">
                  <c:v>394752</c:v>
                </c:pt>
                <c:pt idx="15">
                  <c:v>333000</c:v>
                </c:pt>
              </c:numCache>
            </c:numRef>
          </c:val>
        </c:ser>
        <c:ser>
          <c:idx val="1"/>
          <c:order val="1"/>
          <c:tx>
            <c:v>Wykonanie</c:v>
          </c:tx>
          <c:cat>
            <c:strRef>
              <c:f>'wyk2'!$A$3:$A$18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150</c:v>
                </c:pt>
                <c:pt idx="3">
                  <c:v>600</c:v>
                </c:pt>
                <c:pt idx="4">
                  <c:v>700</c:v>
                </c:pt>
                <c:pt idx="5">
                  <c:v>710</c:v>
                </c:pt>
                <c:pt idx="6">
                  <c:v>750</c:v>
                </c:pt>
                <c:pt idx="7">
                  <c:v>754</c:v>
                </c:pt>
                <c:pt idx="8">
                  <c:v>756</c:v>
                </c:pt>
                <c:pt idx="9">
                  <c:v>758</c:v>
                </c:pt>
                <c:pt idx="10">
                  <c:v>801</c:v>
                </c:pt>
                <c:pt idx="11">
                  <c:v>851</c:v>
                </c:pt>
                <c:pt idx="12">
                  <c:v>852</c:v>
                </c:pt>
                <c:pt idx="13">
                  <c:v>853</c:v>
                </c:pt>
                <c:pt idx="14">
                  <c:v>854</c:v>
                </c:pt>
                <c:pt idx="15">
                  <c:v>926</c:v>
                </c:pt>
              </c:strCache>
            </c:strRef>
          </c:cat>
          <c:val>
            <c:numRef>
              <c:f>'wyk2'!$C$3:$C$18</c:f>
              <c:numCache>
                <c:formatCode>_-* #,##0.00\ _z_ł_-;\-* #,##0.00\ _z_ł_-;_-* "-"??\ _z_ł_-;_-@_-</c:formatCode>
                <c:ptCount val="16"/>
                <c:pt idx="0">
                  <c:v>84215.4</c:v>
                </c:pt>
                <c:pt idx="1">
                  <c:v>264982.93</c:v>
                </c:pt>
                <c:pt idx="2">
                  <c:v>5853.14</c:v>
                </c:pt>
                <c:pt idx="3">
                  <c:v>1805108.16</c:v>
                </c:pt>
                <c:pt idx="4">
                  <c:v>1183231.6599999999</c:v>
                </c:pt>
                <c:pt idx="5">
                  <c:v>347351.16</c:v>
                </c:pt>
                <c:pt idx="6">
                  <c:v>382470.06</c:v>
                </c:pt>
                <c:pt idx="7">
                  <c:v>3000836.18</c:v>
                </c:pt>
                <c:pt idx="8">
                  <c:v>6130550.0999999996</c:v>
                </c:pt>
                <c:pt idx="9">
                  <c:v>25695943.629999999</c:v>
                </c:pt>
                <c:pt idx="10">
                  <c:v>420768.77</c:v>
                </c:pt>
                <c:pt idx="11">
                  <c:v>2402677.84</c:v>
                </c:pt>
                <c:pt idx="12">
                  <c:v>4729934.82</c:v>
                </c:pt>
                <c:pt idx="13">
                  <c:v>1905381.33</c:v>
                </c:pt>
                <c:pt idx="14">
                  <c:v>387605.94</c:v>
                </c:pt>
                <c:pt idx="15">
                  <c:v>333000</c:v>
                </c:pt>
              </c:numCache>
            </c:numRef>
          </c:val>
        </c:ser>
        <c:axId val="60588416"/>
        <c:axId val="60589952"/>
      </c:barChart>
      <c:catAx>
        <c:axId val="60588416"/>
        <c:scaling>
          <c:orientation val="minMax"/>
        </c:scaling>
        <c:axPos val="b"/>
        <c:numFmt formatCode="General" sourceLinked="1"/>
        <c:tickLblPos val="nextTo"/>
        <c:crossAx val="60589952"/>
        <c:crosses val="autoZero"/>
        <c:auto val="1"/>
        <c:lblAlgn val="ctr"/>
        <c:lblOffset val="100"/>
      </c:catAx>
      <c:valAx>
        <c:axId val="60589952"/>
        <c:scaling>
          <c:orientation val="minMax"/>
        </c:scaling>
        <c:axPos val="l"/>
        <c:majorGridlines/>
        <c:numFmt formatCode="_-* #,##0\ _z_ł_-;\-* #,##0\ _z_ł_-;_-* &quot;-&quot;??\ _z_ł_-;_-@_-" sourceLinked="1"/>
        <c:tickLblPos val="nextTo"/>
        <c:crossAx val="60588416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pl-PL"/>
              <a:t>Podział wydatków Powiatu Białogardzkiego 
w 2009 roku</a:t>
            </a:r>
          </a:p>
        </c:rich>
      </c:tx>
      <c:layout>
        <c:manualLayout>
          <c:xMode val="edge"/>
          <c:yMode val="edge"/>
          <c:x val="0.17553235387172658"/>
          <c:y val="3.18181818181818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903203525705463"/>
          <c:y val="0.21363636363636454"/>
          <c:w val="0.41426146010186782"/>
          <c:h val="0.55454545454545756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4215624150546652"/>
                  <c:y val="-5.848723455022713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0.14454348978873502"/>
                  <c:y val="5.015413982343151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dLblPos val="bestFit"/>
              <c:showPercent val="1"/>
            </c:dLbl>
            <c:numFmt formatCode="0.0%" sourceLinked="0"/>
            <c:showPercent val="1"/>
          </c:dLbls>
          <c:cat>
            <c:strRef>
              <c:f>'wyk3'!$A$1:$A$2</c:f>
              <c:strCache>
                <c:ptCount val="2"/>
                <c:pt idx="0">
                  <c:v>WYDATKI BIEŻĄCE</c:v>
                </c:pt>
                <c:pt idx="1">
                  <c:v>WYDATKI MAJĄTKOWE</c:v>
                </c:pt>
              </c:strCache>
            </c:strRef>
          </c:cat>
          <c:val>
            <c:numRef>
              <c:f>'wyk3'!$B$1:$B$2</c:f>
              <c:numCache>
                <c:formatCode>\ #,##0"      ";\-#,##0"      ";" -"#"      ";@\ </c:formatCode>
                <c:ptCount val="2"/>
                <c:pt idx="0">
                  <c:v>44815236.799999997</c:v>
                </c:pt>
                <c:pt idx="1">
                  <c:v>7190978.9199999999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553235387172658"/>
          <c:y val="0.92272727272727273"/>
          <c:w val="0.6489372529622256"/>
          <c:h val="6.136363636363685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pl-PL"/>
        </a:p>
      </c:txPr>
    </c:legend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0278" r="0.75000000000000278" t="1" header="0.49212598450000133" footer="0.492125984500001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36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r>
              <a:rPr lang="pl-PL"/>
              <a:t>Podział wydatków bieżących Powiatu Białogardzkiego 
w 2009 roku</a:t>
            </a:r>
          </a:p>
        </c:rich>
      </c:tx>
      <c:layout>
        <c:manualLayout>
          <c:xMode val="edge"/>
          <c:yMode val="edge"/>
          <c:x val="0.23050875856137756"/>
          <c:y val="3.1111186048210792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1666669552494654"/>
          <c:y val="0.32334047109208036"/>
          <c:w val="0.66312171556702526"/>
          <c:h val="0.38115631691648832"/>
        </c:manualLayout>
      </c:layout>
      <c:pie3DChart>
        <c:varyColors val="1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explosion val="1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explosion val="2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explosion val="25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explosion val="25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explosion val="25"/>
          </c:dPt>
          <c:dLbls>
            <c:numFmt formatCode="0.0%" sourceLinked="0"/>
            <c:showPercent val="1"/>
          </c:dLbls>
          <c:cat>
            <c:strRef>
              <c:f>'wyk3'!$A$30:$A$34</c:f>
              <c:strCache>
                <c:ptCount val="5"/>
                <c:pt idx="0">
                  <c:v>WYNAGRODZENIA </c:v>
                </c:pt>
                <c:pt idx="1">
                  <c:v>POCHODNE OD WYNAGRODZEŃ</c:v>
                </c:pt>
                <c:pt idx="2">
                  <c:v>DOTACJE</c:v>
                </c:pt>
                <c:pt idx="3">
                  <c:v>WYDATKI NA OBSŁUGĘ DŁUGU</c:v>
                </c:pt>
                <c:pt idx="4">
                  <c:v>POZOSTAŁE</c:v>
                </c:pt>
              </c:strCache>
            </c:strRef>
          </c:cat>
          <c:val>
            <c:numRef>
              <c:f>'wyk3'!$B$30:$B$34</c:f>
              <c:numCache>
                <c:formatCode>\ #,##0"      ";\-#,##0"      ";" -"#"      ";@\ </c:formatCode>
                <c:ptCount val="5"/>
                <c:pt idx="0">
                  <c:v>19049405.510000002</c:v>
                </c:pt>
                <c:pt idx="1">
                  <c:v>2807535.3200000003</c:v>
                </c:pt>
                <c:pt idx="2">
                  <c:v>7341189.1499999994</c:v>
                </c:pt>
                <c:pt idx="3">
                  <c:v>371604.72</c:v>
                </c:pt>
                <c:pt idx="4">
                  <c:v>15245502.099999996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4964640455597034E-2"/>
          <c:y val="0.87555750392014697"/>
          <c:w val="0.89007232330254138"/>
          <c:h val="0.1088891511687377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65" b="0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pl-PL"/>
        </a:p>
      </c:txPr>
    </c:legend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0278" r="0.75000000000000278" t="1" header="0.49212598450000133" footer="0.4921259845000013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8413638199071294"/>
          <c:y val="0.12777508332930776"/>
          <c:w val="0.64536257487044857"/>
          <c:h val="0.81908648535497453"/>
        </c:manualLayout>
      </c:layout>
      <c:barChart>
        <c:barDir val="col"/>
        <c:grouping val="clustered"/>
        <c:ser>
          <c:idx val="0"/>
          <c:order val="0"/>
          <c:tx>
            <c:strRef>
              <c:f>'wyk4'!$D$1</c:f>
              <c:strCache>
                <c:ptCount val="1"/>
                <c:pt idx="0">
                  <c:v>Plan</c:v>
                </c:pt>
              </c:strCache>
            </c:strRef>
          </c:tx>
          <c:cat>
            <c:strRef>
              <c:f>'wyk4'!$B$4:$B$19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150</c:v>
                </c:pt>
                <c:pt idx="3">
                  <c:v>600</c:v>
                </c:pt>
                <c:pt idx="4">
                  <c:v>700</c:v>
                </c:pt>
                <c:pt idx="5">
                  <c:v>710</c:v>
                </c:pt>
                <c:pt idx="6">
                  <c:v>750</c:v>
                </c:pt>
                <c:pt idx="7">
                  <c:v>754</c:v>
                </c:pt>
                <c:pt idx="8">
                  <c:v>757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921</c:v>
                </c:pt>
                <c:pt idx="15">
                  <c:v>926</c:v>
                </c:pt>
              </c:strCache>
            </c:strRef>
          </c:cat>
          <c:val>
            <c:numRef>
              <c:f>'wyk4'!$D$4:$D$19</c:f>
              <c:numCache>
                <c:formatCode>\ #,##0"      ";\-#,##0"      ";" -"#"      ";@\ </c:formatCode>
                <c:ptCount val="16"/>
                <c:pt idx="0">
                  <c:v>92555</c:v>
                </c:pt>
                <c:pt idx="1">
                  <c:v>301983</c:v>
                </c:pt>
                <c:pt idx="2">
                  <c:v>38307</c:v>
                </c:pt>
                <c:pt idx="3">
                  <c:v>7123458</c:v>
                </c:pt>
                <c:pt idx="4">
                  <c:v>476358</c:v>
                </c:pt>
                <c:pt idx="5">
                  <c:v>347167</c:v>
                </c:pt>
                <c:pt idx="6">
                  <c:v>5342036</c:v>
                </c:pt>
                <c:pt idx="7">
                  <c:v>3535121</c:v>
                </c:pt>
                <c:pt idx="8">
                  <c:v>379970</c:v>
                </c:pt>
                <c:pt idx="9">
                  <c:v>12530674.68</c:v>
                </c:pt>
                <c:pt idx="10">
                  <c:v>3987773</c:v>
                </c:pt>
                <c:pt idx="11">
                  <c:v>9740094</c:v>
                </c:pt>
                <c:pt idx="12">
                  <c:v>3146199.8</c:v>
                </c:pt>
                <c:pt idx="13">
                  <c:v>4430068</c:v>
                </c:pt>
                <c:pt idx="14">
                  <c:v>155770</c:v>
                </c:pt>
                <c:pt idx="15">
                  <c:v>1614564</c:v>
                </c:pt>
              </c:numCache>
            </c:numRef>
          </c:val>
        </c:ser>
        <c:ser>
          <c:idx val="1"/>
          <c:order val="1"/>
          <c:tx>
            <c:strRef>
              <c:f>'wyk4'!$E$1</c:f>
              <c:strCache>
                <c:ptCount val="1"/>
                <c:pt idx="0">
                  <c:v>Wykonanie</c:v>
                </c:pt>
              </c:strCache>
            </c:strRef>
          </c:tx>
          <c:cat>
            <c:strRef>
              <c:f>'wyk4'!$B$4:$B$19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150</c:v>
                </c:pt>
                <c:pt idx="3">
                  <c:v>600</c:v>
                </c:pt>
                <c:pt idx="4">
                  <c:v>700</c:v>
                </c:pt>
                <c:pt idx="5">
                  <c:v>710</c:v>
                </c:pt>
                <c:pt idx="6">
                  <c:v>750</c:v>
                </c:pt>
                <c:pt idx="7">
                  <c:v>754</c:v>
                </c:pt>
                <c:pt idx="8">
                  <c:v>757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921</c:v>
                </c:pt>
                <c:pt idx="15">
                  <c:v>926</c:v>
                </c:pt>
              </c:strCache>
            </c:strRef>
          </c:cat>
          <c:val>
            <c:numRef>
              <c:f>'wyk4'!$E$4:$E$19</c:f>
              <c:numCache>
                <c:formatCode>General</c:formatCode>
                <c:ptCount val="16"/>
                <c:pt idx="0">
                  <c:v>92455</c:v>
                </c:pt>
                <c:pt idx="1">
                  <c:v>270994.78999999998</c:v>
                </c:pt>
                <c:pt idx="2">
                  <c:v>37726.06</c:v>
                </c:pt>
                <c:pt idx="3">
                  <c:v>7108572.2199999997</c:v>
                </c:pt>
                <c:pt idx="4">
                  <c:v>473743.04</c:v>
                </c:pt>
                <c:pt idx="5">
                  <c:v>346955.08</c:v>
                </c:pt>
                <c:pt idx="6">
                  <c:v>5329739.59</c:v>
                </c:pt>
                <c:pt idx="7">
                  <c:v>3481204.33</c:v>
                </c:pt>
                <c:pt idx="8">
                  <c:v>371604.72</c:v>
                </c:pt>
                <c:pt idx="9">
                  <c:v>12432383.17</c:v>
                </c:pt>
                <c:pt idx="10">
                  <c:v>3973858.43</c:v>
                </c:pt>
                <c:pt idx="11">
                  <c:v>9506634.4299999997</c:v>
                </c:pt>
                <c:pt idx="12">
                  <c:v>3129765.73</c:v>
                </c:pt>
                <c:pt idx="13">
                  <c:v>4388355.99</c:v>
                </c:pt>
                <c:pt idx="14">
                  <c:v>124001.25</c:v>
                </c:pt>
                <c:pt idx="15">
                  <c:v>938221.89</c:v>
                </c:pt>
              </c:numCache>
            </c:numRef>
          </c:val>
        </c:ser>
        <c:axId val="61945728"/>
        <c:axId val="61947264"/>
      </c:barChart>
      <c:catAx>
        <c:axId val="61945728"/>
        <c:scaling>
          <c:orientation val="minMax"/>
        </c:scaling>
        <c:axPos val="b"/>
        <c:numFmt formatCode="General" sourceLinked="1"/>
        <c:tickLblPos val="nextTo"/>
        <c:crossAx val="61947264"/>
        <c:crosses val="autoZero"/>
        <c:auto val="1"/>
        <c:lblAlgn val="ctr"/>
        <c:lblOffset val="100"/>
      </c:catAx>
      <c:valAx>
        <c:axId val="61947264"/>
        <c:scaling>
          <c:orientation val="minMax"/>
        </c:scaling>
        <c:axPos val="l"/>
        <c:majorGridlines/>
        <c:numFmt formatCode="\ #,##0&quot;      &quot;;\-#,##0&quot;      &quot;;&quot; -&quot;#&quot;      &quot;;@\ " sourceLinked="1"/>
        <c:tickLblPos val="nextTo"/>
        <c:crossAx val="619457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6</xdr:col>
      <xdr:colOff>561975</xdr:colOff>
      <xdr:row>25</xdr:row>
      <xdr:rowOff>114300</xdr:rowOff>
    </xdr:to>
    <xdr:graphicFrame macro="">
      <xdr:nvGraphicFramePr>
        <xdr:cNvPr id="1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26</xdr:row>
      <xdr:rowOff>19050</xdr:rowOff>
    </xdr:from>
    <xdr:to>
      <xdr:col>6</xdr:col>
      <xdr:colOff>590550</xdr:colOff>
      <xdr:row>53</xdr:row>
      <xdr:rowOff>28575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0.36227</cdr:x>
      <cdr:y>0.06349</cdr:y>
    </cdr:from>
    <cdr:to>
      <cdr:x>0.98164</cdr:x>
      <cdr:y>0.14484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066925" y="304800"/>
          <a:ext cx="35337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  <cdr:relSizeAnchor xmlns:cdr="http://schemas.openxmlformats.org/drawingml/2006/chartDrawing">
    <cdr:from>
      <cdr:x>0.10684</cdr:x>
      <cdr:y>0.07937</cdr:y>
    </cdr:from>
    <cdr:to>
      <cdr:x>0.9399</cdr:x>
      <cdr:y>0.19643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609600" y="381000"/>
          <a:ext cx="4752975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pl-PL" sz="1480" b="1">
              <a:latin typeface="Times New Roman" pitchFamily="18" charset="0"/>
              <a:cs typeface="Times New Roman" pitchFamily="18" charset="0"/>
            </a:rPr>
            <a:t>Podział</a:t>
          </a:r>
          <a:r>
            <a:rPr lang="pl-PL" sz="1600" b="1" baseline="0">
              <a:latin typeface="Times New Roman" pitchFamily="18" charset="0"/>
              <a:cs typeface="Times New Roman" pitchFamily="18" charset="0"/>
            </a:rPr>
            <a:t> dochodów Powiatu Białogardzkiego </a:t>
          </a:r>
        </a:p>
        <a:p xmlns:a="http://schemas.openxmlformats.org/drawingml/2006/main">
          <a:pPr algn="ctr"/>
          <a:r>
            <a:rPr lang="pl-PL" sz="1600" b="1" baseline="0">
              <a:latin typeface="Times New Roman" pitchFamily="18" charset="0"/>
              <a:cs typeface="Times New Roman" pitchFamily="18" charset="0"/>
            </a:rPr>
            <a:t>w 2009 roku</a:t>
          </a:r>
          <a:endParaRPr lang="pl-PL" sz="16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352425</xdr:colOff>
      <xdr:row>56</xdr:row>
      <xdr:rowOff>142875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0.10825</cdr:x>
      <cdr:y>0.03068</cdr:y>
    </cdr:from>
    <cdr:to>
      <cdr:x>0.91065</cdr:x>
      <cdr:y>0.10795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600075" y="257175"/>
          <a:ext cx="4448175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pl-PL" sz="1400" b="1">
              <a:latin typeface="Times New Roman" pitchFamily="18" charset="0"/>
              <a:cs typeface="Times New Roman" pitchFamily="18" charset="0"/>
            </a:rPr>
            <a:t>Wykonanie dochodów Powiatu Białogardzkiego </a:t>
          </a:r>
        </a:p>
        <a:p xmlns:a="http://schemas.openxmlformats.org/drawingml/2006/main">
          <a:pPr algn="ctr"/>
          <a:r>
            <a:rPr lang="pl-PL" sz="1400" b="1">
              <a:latin typeface="Times New Roman" pitchFamily="18" charset="0"/>
              <a:cs typeface="Times New Roman" pitchFamily="18" charset="0"/>
            </a:rPr>
            <a:t>w 2009 roku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390525</xdr:colOff>
      <xdr:row>25</xdr:row>
      <xdr:rowOff>142875</xdr:rowOff>
    </xdr:to>
    <xdr:graphicFrame macro="">
      <xdr:nvGraphicFramePr>
        <xdr:cNvPr id="77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390525</xdr:colOff>
      <xdr:row>54</xdr:row>
      <xdr:rowOff>76200</xdr:rowOff>
    </xdr:to>
    <xdr:graphicFrame macro="">
      <xdr:nvGraphicFramePr>
        <xdr:cNvPr id="77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6</xdr:col>
      <xdr:colOff>752475</xdr:colOff>
      <xdr:row>54</xdr:row>
      <xdr:rowOff>104776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0.18269</cdr:x>
      <cdr:y>0.02376</cdr:y>
    </cdr:from>
    <cdr:to>
      <cdr:x>0.86378</cdr:x>
      <cdr:y>0.07883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1085850" y="209550"/>
          <a:ext cx="404812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  <cdr:relSizeAnchor xmlns:cdr="http://schemas.openxmlformats.org/drawingml/2006/chartDrawing">
    <cdr:from>
      <cdr:x>0.04968</cdr:x>
      <cdr:y>0.0216</cdr:y>
    </cdr:from>
    <cdr:to>
      <cdr:x>0.97276</cdr:x>
      <cdr:y>0.08747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295275" y="190500"/>
          <a:ext cx="548640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pl-PL" sz="1480" b="1">
              <a:latin typeface="Times New Roman" pitchFamily="18" charset="0"/>
              <a:cs typeface="Times New Roman" pitchFamily="18" charset="0"/>
            </a:rPr>
            <a:t>Wykonanie wydatków Powiatu Białogardzkiego </a:t>
          </a:r>
        </a:p>
        <a:p xmlns:a="http://schemas.openxmlformats.org/drawingml/2006/main">
          <a:pPr algn="ctr"/>
          <a:r>
            <a:rPr lang="pl-PL" sz="1480" b="1">
              <a:latin typeface="Times New Roman" pitchFamily="18" charset="0"/>
              <a:cs typeface="Times New Roman" pitchFamily="18" charset="0"/>
            </a:rPr>
            <a:t>w 2009 roku</a:t>
          </a: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view="pageLayout" workbookViewId="0">
      <selection activeCell="J25" sqref="J25"/>
    </sheetView>
  </sheetViews>
  <sheetFormatPr defaultColWidth="9" defaultRowHeight="12.75"/>
  <cols>
    <col min="1" max="1" width="21.42578125" customWidth="1"/>
    <col min="2" max="2" width="15.7109375" style="1" customWidth="1"/>
  </cols>
  <sheetData>
    <row r="1" spans="1:2">
      <c r="A1" t="s">
        <v>0</v>
      </c>
      <c r="B1" s="1">
        <v>14878783.43</v>
      </c>
    </row>
    <row r="2" spans="1:2">
      <c r="A2" t="s">
        <v>1</v>
      </c>
      <c r="B2" s="1">
        <v>25566298</v>
      </c>
    </row>
    <row r="3" spans="1:2">
      <c r="A3" t="s">
        <v>2</v>
      </c>
      <c r="B3" s="1">
        <v>8634829.6899999995</v>
      </c>
    </row>
    <row r="4" spans="1:2">
      <c r="B4" s="1">
        <f>B1+B2+B3</f>
        <v>49079911.119999997</v>
      </c>
    </row>
    <row r="17" spans="1:4">
      <c r="A17" s="107"/>
      <c r="B17" s="514"/>
      <c r="C17" s="107"/>
      <c r="D17" s="107"/>
    </row>
    <row r="18" spans="1:4">
      <c r="A18" s="107"/>
      <c r="B18" s="514"/>
      <c r="C18" s="107"/>
      <c r="D18" s="107"/>
    </row>
    <row r="19" spans="1:4">
      <c r="A19" s="107"/>
      <c r="B19" s="514"/>
      <c r="C19" s="107"/>
      <c r="D19" s="107"/>
    </row>
    <row r="20" spans="1:4">
      <c r="A20" s="107"/>
      <c r="B20" s="514"/>
      <c r="C20" s="107"/>
      <c r="D20" s="107"/>
    </row>
    <row r="21" spans="1:4">
      <c r="A21" s="107"/>
      <c r="B21" s="514"/>
      <c r="C21" s="107"/>
      <c r="D21" s="107"/>
    </row>
    <row r="22" spans="1:4">
      <c r="A22" s="107"/>
      <c r="B22" s="514"/>
      <c r="C22" s="107"/>
      <c r="D22" s="107"/>
    </row>
    <row r="23" spans="1:4">
      <c r="A23" s="107"/>
      <c r="B23" s="514"/>
      <c r="C23" s="107"/>
      <c r="D23" s="107"/>
    </row>
    <row r="24" spans="1:4">
      <c r="A24" s="107"/>
      <c r="B24" s="514"/>
      <c r="C24" s="107"/>
      <c r="D24" s="107"/>
    </row>
    <row r="25" spans="1:4">
      <c r="A25" s="107" t="s">
        <v>493</v>
      </c>
      <c r="B25" s="514">
        <f>'zał 1'!F228</f>
        <v>46042465.25999999</v>
      </c>
      <c r="C25" s="107"/>
      <c r="D25" s="107"/>
    </row>
    <row r="26" spans="1:4">
      <c r="A26" s="218" t="s">
        <v>494</v>
      </c>
      <c r="B26" s="108">
        <f>'zał 1'!G228</f>
        <v>3037445.8600000003</v>
      </c>
      <c r="C26" s="218"/>
      <c r="D26" s="107"/>
    </row>
    <row r="27" spans="1:4">
      <c r="A27" s="107"/>
      <c r="B27" s="514"/>
      <c r="C27" s="107"/>
      <c r="D27" s="107"/>
    </row>
    <row r="28" spans="1:4">
      <c r="A28" s="107"/>
      <c r="B28" s="514"/>
      <c r="C28" s="107"/>
      <c r="D28" s="107"/>
    </row>
    <row r="29" spans="1:4">
      <c r="A29" s="107"/>
      <c r="B29" s="514"/>
      <c r="C29" s="107"/>
      <c r="D29" s="107"/>
    </row>
  </sheetData>
  <pageMargins left="0.74791666666666667" right="0.74791666666666667" top="0.98402777777777772" bottom="0.98541666666666661" header="0.51180555555555551" footer="0.5"/>
  <pageSetup paperSize="9" firstPageNumber="14" orientation="portrait" useFirstPageNumber="1" horizontalDpi="300" verticalDpi="300" r:id="rId1"/>
  <headerFooter alignWithMargins="0">
    <oddFooter xml:space="preserve">&amp;C&amp;"Times New Roman,Normalny"&amp;12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view="pageLayout" topLeftCell="A13" workbookViewId="0">
      <selection activeCell="H24" sqref="H24"/>
    </sheetView>
  </sheetViews>
  <sheetFormatPr defaultColWidth="9" defaultRowHeight="12.75"/>
  <cols>
    <col min="1" max="1" width="20" customWidth="1"/>
    <col min="3" max="3" width="0" hidden="1" customWidth="1"/>
    <col min="4" max="4" width="23.5703125" style="4" customWidth="1"/>
    <col min="5" max="5" width="12.85546875" customWidth="1"/>
    <col min="7" max="7" width="12.7109375" customWidth="1"/>
  </cols>
  <sheetData>
    <row r="1" spans="1:5">
      <c r="D1" s="218" t="s">
        <v>11</v>
      </c>
      <c r="E1" s="218" t="s">
        <v>12</v>
      </c>
    </row>
    <row r="2" spans="1:5">
      <c r="D2">
        <v>53242098.479999997</v>
      </c>
      <c r="E2">
        <v>52006215.719999999</v>
      </c>
    </row>
    <row r="3" spans="1:5">
      <c r="A3" s="4"/>
      <c r="B3" s="4"/>
      <c r="C3" s="4"/>
      <c r="E3" s="4"/>
    </row>
    <row r="4" spans="1:5">
      <c r="A4" s="4"/>
      <c r="B4" s="24" t="s">
        <v>14</v>
      </c>
      <c r="C4" s="24"/>
      <c r="D4" s="355">
        <v>92555</v>
      </c>
      <c r="E4" s="22">
        <v>92455</v>
      </c>
    </row>
    <row r="5" spans="1:5">
      <c r="A5" s="107"/>
      <c r="B5" s="24" t="s">
        <v>23</v>
      </c>
      <c r="C5" s="24"/>
      <c r="D5" s="357">
        <v>301983</v>
      </c>
      <c r="E5" s="22">
        <v>270994.78999999998</v>
      </c>
    </row>
    <row r="6" spans="1:5">
      <c r="A6" s="107"/>
      <c r="B6" s="310">
        <v>150</v>
      </c>
      <c r="C6" s="310"/>
      <c r="D6" s="356">
        <v>38307</v>
      </c>
      <c r="E6" s="22">
        <v>37726.06</v>
      </c>
    </row>
    <row r="7" spans="1:5">
      <c r="A7" s="107"/>
      <c r="B7" s="24">
        <v>600</v>
      </c>
      <c r="C7" s="24"/>
      <c r="D7" s="357">
        <v>7123458</v>
      </c>
      <c r="E7" s="22">
        <v>7108572.2199999997</v>
      </c>
    </row>
    <row r="8" spans="1:5">
      <c r="B8" s="24">
        <v>700</v>
      </c>
      <c r="C8" s="24"/>
      <c r="D8" s="357">
        <v>476358</v>
      </c>
      <c r="E8" s="22">
        <v>473743.04</v>
      </c>
    </row>
    <row r="9" spans="1:5">
      <c r="B9" s="24">
        <v>710</v>
      </c>
      <c r="C9" s="24"/>
      <c r="D9" s="357">
        <v>347167</v>
      </c>
      <c r="E9" s="22">
        <v>346955.08</v>
      </c>
    </row>
    <row r="10" spans="1:5">
      <c r="B10" s="24">
        <v>750</v>
      </c>
      <c r="C10" s="24"/>
      <c r="D10" s="357">
        <v>5342036</v>
      </c>
      <c r="E10" s="22">
        <v>5329739.59</v>
      </c>
    </row>
    <row r="11" spans="1:5">
      <c r="B11" s="24">
        <v>754</v>
      </c>
      <c r="C11" s="24"/>
      <c r="D11" s="357">
        <v>3535121</v>
      </c>
      <c r="E11" s="22">
        <v>3481204.33</v>
      </c>
    </row>
    <row r="12" spans="1:5">
      <c r="B12" s="24">
        <v>757</v>
      </c>
      <c r="C12" s="24"/>
      <c r="D12" s="357">
        <v>379970</v>
      </c>
      <c r="E12" s="22">
        <v>371604.72</v>
      </c>
    </row>
    <row r="13" spans="1:5">
      <c r="B13" s="24">
        <v>801</v>
      </c>
      <c r="C13" s="24"/>
      <c r="D13" s="357">
        <v>12530674.68</v>
      </c>
      <c r="E13" s="22">
        <v>12432383.17</v>
      </c>
    </row>
    <row r="14" spans="1:5">
      <c r="B14" s="24">
        <v>851</v>
      </c>
      <c r="C14" s="24"/>
      <c r="D14" s="357">
        <v>3987773</v>
      </c>
      <c r="E14" s="22">
        <v>3973858.43</v>
      </c>
    </row>
    <row r="15" spans="1:5">
      <c r="B15" s="24">
        <v>852</v>
      </c>
      <c r="C15" s="24"/>
      <c r="D15" s="357">
        <v>9740094</v>
      </c>
      <c r="E15" s="22">
        <v>9506634.4299999997</v>
      </c>
    </row>
    <row r="16" spans="1:5">
      <c r="B16" s="24">
        <v>853</v>
      </c>
      <c r="C16" s="24"/>
      <c r="D16" s="357">
        <v>3146199.8</v>
      </c>
      <c r="E16" s="22">
        <v>3129765.73</v>
      </c>
    </row>
    <row r="17" spans="2:5">
      <c r="B17" s="24">
        <v>854</v>
      </c>
      <c r="C17" s="24" t="s">
        <v>16</v>
      </c>
      <c r="D17" s="357">
        <v>4430068</v>
      </c>
      <c r="E17" s="22">
        <v>4388355.99</v>
      </c>
    </row>
    <row r="18" spans="2:5">
      <c r="B18" s="310">
        <v>921</v>
      </c>
      <c r="C18" s="310">
        <v>85495</v>
      </c>
      <c r="D18" s="356">
        <v>155770</v>
      </c>
      <c r="E18" s="22">
        <v>124001.25</v>
      </c>
    </row>
    <row r="19" spans="2:5">
      <c r="B19" s="310">
        <v>926</v>
      </c>
      <c r="C19" s="310"/>
      <c r="D19" s="356">
        <v>1614564</v>
      </c>
      <c r="E19" s="22">
        <v>938221.89</v>
      </c>
    </row>
  </sheetData>
  <pageMargins left="0.74791666666666667" right="0.74791666666666667" top="0.98402777777777772" bottom="0.98541666666666661" header="0.51180555555555551" footer="0.5"/>
  <pageSetup paperSize="9" firstPageNumber="37" orientation="portrait" useFirstPageNumber="1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2"/>
  <sheetViews>
    <sheetView view="pageLayout" workbookViewId="0">
      <selection activeCell="D35" sqref="D35"/>
    </sheetView>
  </sheetViews>
  <sheetFormatPr defaultRowHeight="12.75"/>
  <cols>
    <col min="1" max="1" width="4.140625" customWidth="1"/>
    <col min="2" max="2" width="6.42578125" customWidth="1"/>
    <col min="3" max="3" width="7.28515625" customWidth="1"/>
    <col min="4" max="4" width="31.42578125" customWidth="1"/>
    <col min="5" max="5" width="13.42578125" customWidth="1"/>
    <col min="6" max="6" width="13.85546875" customWidth="1"/>
  </cols>
  <sheetData>
    <row r="1" spans="1:7">
      <c r="E1" s="368"/>
      <c r="F1" s="764" t="s">
        <v>149</v>
      </c>
      <c r="G1" s="764"/>
    </row>
    <row r="2" spans="1:7">
      <c r="D2" s="265"/>
      <c r="E2" s="308"/>
      <c r="F2" s="265"/>
    </row>
    <row r="3" spans="1:7">
      <c r="D3" s="308"/>
      <c r="E3" s="308"/>
      <c r="F3" s="308"/>
    </row>
    <row r="4" spans="1:7" ht="34.5" customHeight="1">
      <c r="A4" s="819" t="s">
        <v>528</v>
      </c>
      <c r="B4" s="819"/>
      <c r="C4" s="819"/>
      <c r="D4" s="819"/>
      <c r="E4" s="819"/>
      <c r="F4" s="819"/>
      <c r="G4" s="819"/>
    </row>
    <row r="5" spans="1:7" ht="15.75" customHeight="1">
      <c r="A5" s="309"/>
      <c r="B5" s="309"/>
      <c r="C5" s="309"/>
      <c r="D5" s="309"/>
      <c r="E5" s="309"/>
      <c r="F5" s="309"/>
      <c r="G5" s="309"/>
    </row>
    <row r="6" spans="1:7">
      <c r="A6" s="227"/>
      <c r="B6" s="227"/>
      <c r="C6" s="227"/>
      <c r="D6" s="227"/>
      <c r="E6" s="227"/>
      <c r="F6" s="259" t="s">
        <v>6</v>
      </c>
    </row>
    <row r="7" spans="1:7">
      <c r="A7" s="360" t="s">
        <v>238</v>
      </c>
      <c r="B7" s="360" t="s">
        <v>7</v>
      </c>
      <c r="C7" s="360" t="s">
        <v>152</v>
      </c>
      <c r="D7" s="360" t="s">
        <v>401</v>
      </c>
      <c r="E7" s="360" t="s">
        <v>11</v>
      </c>
      <c r="F7" s="359" t="s">
        <v>12</v>
      </c>
      <c r="G7" s="361" t="s">
        <v>13</v>
      </c>
    </row>
    <row r="8" spans="1:7">
      <c r="A8" s="254">
        <v>1</v>
      </c>
      <c r="B8" s="254">
        <v>2</v>
      </c>
      <c r="C8" s="254">
        <v>3</v>
      </c>
      <c r="D8" s="254">
        <v>4</v>
      </c>
      <c r="E8" s="254">
        <v>5</v>
      </c>
      <c r="F8" s="254">
        <v>6</v>
      </c>
      <c r="G8" s="358">
        <v>7</v>
      </c>
    </row>
    <row r="9" spans="1:7" ht="25.5">
      <c r="A9" s="255">
        <v>1</v>
      </c>
      <c r="B9" s="256">
        <v>801</v>
      </c>
      <c r="C9" s="256">
        <v>80120</v>
      </c>
      <c r="D9" s="257" t="s">
        <v>438</v>
      </c>
      <c r="E9" s="362">
        <v>50000</v>
      </c>
      <c r="F9" s="365">
        <v>49242.94</v>
      </c>
      <c r="G9" s="366">
        <f>F9/E9*100</f>
        <v>98.485880000000009</v>
      </c>
    </row>
    <row r="10" spans="1:7" ht="25.5">
      <c r="A10" s="255">
        <v>2</v>
      </c>
      <c r="B10" s="256">
        <v>801</v>
      </c>
      <c r="C10" s="256">
        <v>80120</v>
      </c>
      <c r="D10" s="257" t="s">
        <v>319</v>
      </c>
      <c r="E10" s="362">
        <f>210000-30000+5000+2000</f>
        <v>187000</v>
      </c>
      <c r="F10" s="365">
        <v>186961.94</v>
      </c>
      <c r="G10" s="366">
        <f t="shared" ref="G10:G23" si="0">F10/E10*100</f>
        <v>99.979647058823531</v>
      </c>
    </row>
    <row r="11" spans="1:7" ht="25.5">
      <c r="A11" s="255">
        <v>3</v>
      </c>
      <c r="B11" s="256">
        <v>801</v>
      </c>
      <c r="C11" s="256">
        <v>80120</v>
      </c>
      <c r="D11" s="257" t="s">
        <v>439</v>
      </c>
      <c r="E11" s="362">
        <f>130000-1000</f>
        <v>129000</v>
      </c>
      <c r="F11" s="365">
        <v>128582.52</v>
      </c>
      <c r="G11" s="366">
        <f t="shared" si="0"/>
        <v>99.676372093023261</v>
      </c>
    </row>
    <row r="12" spans="1:7" ht="25.5">
      <c r="A12" s="255">
        <v>4</v>
      </c>
      <c r="B12" s="256">
        <v>801</v>
      </c>
      <c r="C12" s="256">
        <v>80120</v>
      </c>
      <c r="D12" s="264" t="s">
        <v>527</v>
      </c>
      <c r="E12" s="362">
        <v>94000</v>
      </c>
      <c r="F12" s="365">
        <v>93286.2</v>
      </c>
      <c r="G12" s="366">
        <f t="shared" si="0"/>
        <v>99.240638297872337</v>
      </c>
    </row>
    <row r="13" spans="1:7" ht="25.5">
      <c r="A13" s="255">
        <v>5</v>
      </c>
      <c r="B13" s="256">
        <v>801</v>
      </c>
      <c r="C13" s="256">
        <v>80123</v>
      </c>
      <c r="D13" s="257" t="s">
        <v>440</v>
      </c>
      <c r="E13" s="362">
        <v>130000</v>
      </c>
      <c r="F13" s="365">
        <v>125510.7</v>
      </c>
      <c r="G13" s="366">
        <f t="shared" si="0"/>
        <v>96.546692307692311</v>
      </c>
    </row>
    <row r="14" spans="1:7" ht="25.5">
      <c r="A14" s="255">
        <v>6</v>
      </c>
      <c r="B14" s="256">
        <v>801</v>
      </c>
      <c r="C14" s="256">
        <v>80123</v>
      </c>
      <c r="D14" s="257" t="s">
        <v>441</v>
      </c>
      <c r="E14" s="362">
        <f>400000-104396</f>
        <v>295604</v>
      </c>
      <c r="F14" s="365">
        <v>291436.2</v>
      </c>
      <c r="G14" s="366">
        <f t="shared" si="0"/>
        <v>98.590073206045929</v>
      </c>
    </row>
    <row r="15" spans="1:7">
      <c r="A15" s="255">
        <v>7</v>
      </c>
      <c r="B15" s="256">
        <v>801</v>
      </c>
      <c r="C15" s="256">
        <v>80130</v>
      </c>
      <c r="D15" s="257" t="s">
        <v>442</v>
      </c>
      <c r="E15" s="362">
        <f>170000-15000</f>
        <v>155000</v>
      </c>
      <c r="F15" s="365">
        <v>142732.79999999999</v>
      </c>
      <c r="G15" s="366">
        <f t="shared" si="0"/>
        <v>92.085677419354823</v>
      </c>
    </row>
    <row r="16" spans="1:7" ht="25.5">
      <c r="A16" s="255">
        <v>8</v>
      </c>
      <c r="B16" s="256">
        <v>801</v>
      </c>
      <c r="C16" s="256">
        <v>80130</v>
      </c>
      <c r="D16" s="257" t="s">
        <v>443</v>
      </c>
      <c r="E16" s="362">
        <f>220000-15000</f>
        <v>205000</v>
      </c>
      <c r="F16" s="365">
        <v>199355.1</v>
      </c>
      <c r="G16" s="366">
        <f t="shared" si="0"/>
        <v>97.246390243902439</v>
      </c>
    </row>
    <row r="17" spans="1:7" ht="25.5">
      <c r="A17" s="255">
        <v>9</v>
      </c>
      <c r="B17" s="256">
        <v>801</v>
      </c>
      <c r="C17" s="256">
        <v>80144</v>
      </c>
      <c r="D17" s="264" t="s">
        <v>537</v>
      </c>
      <c r="E17" s="362">
        <v>143396</v>
      </c>
      <c r="F17" s="365">
        <v>143395.20000000001</v>
      </c>
      <c r="G17" s="366">
        <f t="shared" si="0"/>
        <v>99.999442104382268</v>
      </c>
    </row>
    <row r="18" spans="1:7">
      <c r="A18" s="255">
        <v>10</v>
      </c>
      <c r="B18" s="256">
        <v>851</v>
      </c>
      <c r="C18" s="256">
        <v>85111</v>
      </c>
      <c r="D18" s="264" t="s">
        <v>538</v>
      </c>
      <c r="E18" s="362">
        <v>13808</v>
      </c>
      <c r="F18" s="365">
        <v>13807.67</v>
      </c>
      <c r="G18" s="366">
        <f t="shared" si="0"/>
        <v>99.997610081112398</v>
      </c>
    </row>
    <row r="19" spans="1:7" ht="25.5">
      <c r="A19" s="255">
        <v>11</v>
      </c>
      <c r="B19" s="256">
        <v>853</v>
      </c>
      <c r="C19" s="256">
        <v>85311</v>
      </c>
      <c r="D19" s="258" t="s">
        <v>444</v>
      </c>
      <c r="E19" s="363">
        <v>41100</v>
      </c>
      <c r="F19" s="365">
        <v>41100</v>
      </c>
      <c r="G19" s="366">
        <f t="shared" si="0"/>
        <v>100</v>
      </c>
    </row>
    <row r="20" spans="1:7" ht="38.25">
      <c r="A20" s="255">
        <v>12</v>
      </c>
      <c r="B20" s="256">
        <v>854</v>
      </c>
      <c r="C20" s="256">
        <v>85419</v>
      </c>
      <c r="D20" s="258" t="s">
        <v>445</v>
      </c>
      <c r="E20" s="363">
        <v>1090418</v>
      </c>
      <c r="F20" s="365">
        <v>1051916.8</v>
      </c>
      <c r="G20" s="366">
        <f t="shared" si="0"/>
        <v>96.469133855090433</v>
      </c>
    </row>
    <row r="21" spans="1:7" ht="51">
      <c r="A21" s="255">
        <v>13</v>
      </c>
      <c r="B21" s="256">
        <v>921</v>
      </c>
      <c r="C21" s="256">
        <v>92195</v>
      </c>
      <c r="D21" s="264" t="s">
        <v>539</v>
      </c>
      <c r="E21" s="362">
        <v>50000</v>
      </c>
      <c r="F21" s="365">
        <v>20000</v>
      </c>
      <c r="G21" s="366">
        <f t="shared" si="0"/>
        <v>40</v>
      </c>
    </row>
    <row r="22" spans="1:7" ht="25.5">
      <c r="A22" s="255">
        <v>14</v>
      </c>
      <c r="B22" s="256">
        <v>926</v>
      </c>
      <c r="C22" s="256">
        <v>92695</v>
      </c>
      <c r="D22" s="264" t="s">
        <v>448</v>
      </c>
      <c r="E22" s="362">
        <v>30000</v>
      </c>
      <c r="F22" s="365">
        <v>30000</v>
      </c>
      <c r="G22" s="366">
        <f t="shared" si="0"/>
        <v>100</v>
      </c>
    </row>
    <row r="23" spans="1:7">
      <c r="A23" s="816" t="s">
        <v>132</v>
      </c>
      <c r="B23" s="817"/>
      <c r="C23" s="817"/>
      <c r="D23" s="818"/>
      <c r="E23" s="364">
        <f>SUM(E9:E22)</f>
        <v>2614326</v>
      </c>
      <c r="F23" s="587">
        <f>SUM(F9:F22)</f>
        <v>2517328.0700000003</v>
      </c>
      <c r="G23" s="367">
        <f t="shared" si="0"/>
        <v>96.289753840951747</v>
      </c>
    </row>
    <row r="24" spans="1:7">
      <c r="A24" s="227"/>
      <c r="B24" s="227"/>
      <c r="C24" s="227"/>
      <c r="D24" s="227"/>
      <c r="E24" s="227"/>
    </row>
    <row r="27" spans="1:7" ht="52.5" customHeight="1"/>
    <row r="36" spans="1:6">
      <c r="A36" s="260"/>
      <c r="B36" s="261"/>
      <c r="C36" s="261"/>
      <c r="D36" s="262"/>
      <c r="E36" s="262"/>
      <c r="F36" s="263"/>
    </row>
    <row r="37" spans="1:6">
      <c r="A37" s="260"/>
      <c r="B37" s="261"/>
      <c r="C37" s="261"/>
      <c r="D37" s="262"/>
      <c r="E37" s="262"/>
      <c r="F37" s="263"/>
    </row>
    <row r="38" spans="1:6">
      <c r="A38" s="260"/>
      <c r="B38" s="261"/>
      <c r="C38" s="261"/>
      <c r="D38" s="262"/>
      <c r="E38" s="262"/>
      <c r="F38" s="263"/>
    </row>
    <row r="39" spans="1:6">
      <c r="A39" s="260"/>
      <c r="B39" s="261"/>
      <c r="C39" s="261"/>
      <c r="D39" s="262"/>
      <c r="E39" s="262"/>
      <c r="F39" s="263"/>
    </row>
    <row r="40" spans="1:6" ht="31.5" customHeight="1"/>
    <row r="49" spans="1:5" ht="21" customHeight="1"/>
    <row r="50" spans="1:5" ht="15.75">
      <c r="A50" s="228"/>
      <c r="B50" s="228"/>
      <c r="C50" s="228"/>
      <c r="D50" s="228"/>
      <c r="E50" s="228"/>
    </row>
    <row r="51" spans="1:5">
      <c r="A51" s="227"/>
      <c r="B51" s="227"/>
      <c r="C51" s="227"/>
      <c r="D51" s="227"/>
      <c r="E51" s="227"/>
    </row>
    <row r="52" spans="1:5" ht="38.25" customHeight="1"/>
    <row r="62" spans="1:5" ht="37.5" customHeight="1"/>
  </sheetData>
  <mergeCells count="3">
    <mergeCell ref="A23:D23"/>
    <mergeCell ref="F1:G1"/>
    <mergeCell ref="A4:G4"/>
  </mergeCells>
  <pageMargins left="0.7" right="0.7" top="0.75" bottom="0.75" header="0.3" footer="0.3"/>
  <pageSetup paperSize="9" orientation="portrait" r:id="rId1"/>
  <headerFooter>
    <oddFooter>&amp;CZałącznik Nr 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23"/>
  <sheetViews>
    <sheetView view="pageLayout" workbookViewId="0">
      <selection activeCell="D21" sqref="D21"/>
    </sheetView>
  </sheetViews>
  <sheetFormatPr defaultRowHeight="12.75"/>
  <cols>
    <col min="1" max="2" width="6.5703125" style="227" customWidth="1"/>
    <col min="3" max="3" width="9.140625" style="227"/>
    <col min="4" max="4" width="35.28515625" style="227" customWidth="1"/>
    <col min="5" max="5" width="11.7109375" style="227" customWidth="1"/>
    <col min="6" max="6" width="10.42578125" style="227" customWidth="1"/>
    <col min="7" max="7" width="6.5703125" style="227" customWidth="1"/>
    <col min="8" max="8" width="11" style="227" customWidth="1"/>
    <col min="9" max="16384" width="9.140625" style="227"/>
  </cols>
  <sheetData>
    <row r="1" spans="1:7">
      <c r="E1" s="786" t="s">
        <v>151</v>
      </c>
      <c r="F1" s="786"/>
      <c r="G1" s="786"/>
    </row>
    <row r="3" spans="1:7" ht="45" customHeight="1">
      <c r="A3" s="819" t="s">
        <v>540</v>
      </c>
      <c r="B3" s="819"/>
      <c r="C3" s="819"/>
      <c r="D3" s="819"/>
      <c r="E3" s="819"/>
      <c r="F3" s="819"/>
      <c r="G3" s="819"/>
    </row>
    <row r="5" spans="1:7">
      <c r="G5" s="269" t="s">
        <v>6</v>
      </c>
    </row>
    <row r="6" spans="1:7">
      <c r="A6" s="369" t="s">
        <v>238</v>
      </c>
      <c r="B6" s="369" t="s">
        <v>7</v>
      </c>
      <c r="C6" s="369" t="s">
        <v>152</v>
      </c>
      <c r="D6" s="369" t="s">
        <v>446</v>
      </c>
      <c r="E6" s="369" t="s">
        <v>11</v>
      </c>
      <c r="F6" s="370" t="s">
        <v>12</v>
      </c>
      <c r="G6" s="370" t="s">
        <v>13</v>
      </c>
    </row>
    <row r="7" spans="1:7">
      <c r="A7" s="301">
        <v>1</v>
      </c>
      <c r="B7" s="301">
        <v>2</v>
      </c>
      <c r="C7" s="301">
        <v>3</v>
      </c>
      <c r="D7" s="301">
        <v>4</v>
      </c>
      <c r="E7" s="301">
        <v>5</v>
      </c>
      <c r="F7" s="301">
        <v>6</v>
      </c>
      <c r="G7" s="301">
        <v>7</v>
      </c>
    </row>
    <row r="8" spans="1:7" ht="48">
      <c r="A8" s="376">
        <v>1</v>
      </c>
      <c r="B8" s="376">
        <v>852</v>
      </c>
      <c r="C8" s="376">
        <v>85201</v>
      </c>
      <c r="D8" s="377" t="s">
        <v>629</v>
      </c>
      <c r="E8" s="415">
        <v>80915</v>
      </c>
      <c r="F8" s="378">
        <v>65433.51</v>
      </c>
      <c r="G8" s="383">
        <f>F8/E8*100</f>
        <v>80.866971513316443</v>
      </c>
    </row>
    <row r="9" spans="1:7" ht="36">
      <c r="A9" s="376">
        <v>2</v>
      </c>
      <c r="B9" s="376">
        <v>852</v>
      </c>
      <c r="C9" s="376">
        <v>85204</v>
      </c>
      <c r="D9" s="377" t="s">
        <v>630</v>
      </c>
      <c r="E9" s="415">
        <v>121757</v>
      </c>
      <c r="F9" s="378">
        <v>119071.19</v>
      </c>
      <c r="G9" s="383">
        <f t="shared" ref="G9:G10" si="0">F9/E9*100</f>
        <v>97.794122719843628</v>
      </c>
    </row>
    <row r="10" spans="1:7">
      <c r="A10" s="820" t="s">
        <v>132</v>
      </c>
      <c r="B10" s="821"/>
      <c r="C10" s="821"/>
      <c r="D10" s="822"/>
      <c r="E10" s="379">
        <f>SUM(E8:E9)</f>
        <v>202672</v>
      </c>
      <c r="F10" s="380">
        <f>F8+F9</f>
        <v>184504.7</v>
      </c>
      <c r="G10" s="384">
        <f t="shared" si="0"/>
        <v>91.036107602431514</v>
      </c>
    </row>
    <row r="11" spans="1:7">
      <c r="A11" s="372"/>
      <c r="B11" s="311"/>
      <c r="C11" s="311"/>
      <c r="D11" s="373"/>
      <c r="E11" s="373"/>
      <c r="F11" s="373"/>
      <c r="G11" s="374"/>
    </row>
    <row r="12" spans="1:7">
      <c r="E12" s="786" t="s">
        <v>153</v>
      </c>
      <c r="F12" s="786"/>
      <c r="G12" s="786"/>
    </row>
    <row r="14" spans="1:7" ht="45" customHeight="1">
      <c r="A14" s="819" t="s">
        <v>541</v>
      </c>
      <c r="B14" s="819"/>
      <c r="C14" s="819"/>
      <c r="D14" s="819"/>
      <c r="E14" s="819"/>
      <c r="F14" s="819"/>
      <c r="G14" s="819"/>
    </row>
    <row r="16" spans="1:7">
      <c r="G16" s="269" t="s">
        <v>6</v>
      </c>
    </row>
    <row r="17" spans="1:7">
      <c r="A17" s="369" t="s">
        <v>238</v>
      </c>
      <c r="B17" s="369" t="s">
        <v>7</v>
      </c>
      <c r="C17" s="369" t="s">
        <v>152</v>
      </c>
      <c r="D17" s="369" t="s">
        <v>446</v>
      </c>
      <c r="E17" s="369" t="s">
        <v>11</v>
      </c>
      <c r="F17" s="370" t="s">
        <v>12</v>
      </c>
      <c r="G17" s="370" t="s">
        <v>13</v>
      </c>
    </row>
    <row r="18" spans="1:7">
      <c r="A18" s="301">
        <v>1</v>
      </c>
      <c r="B18" s="301">
        <v>2</v>
      </c>
      <c r="C18" s="301">
        <v>3</v>
      </c>
      <c r="D18" s="301">
        <v>4</v>
      </c>
      <c r="E18" s="301">
        <v>5</v>
      </c>
      <c r="F18" s="301">
        <v>6</v>
      </c>
      <c r="G18" s="301">
        <v>7</v>
      </c>
    </row>
    <row r="19" spans="1:7" ht="36">
      <c r="A19" s="416">
        <v>1</v>
      </c>
      <c r="B19" s="416">
        <v>852</v>
      </c>
      <c r="C19" s="416">
        <v>85201</v>
      </c>
      <c r="D19" s="417" t="s">
        <v>447</v>
      </c>
      <c r="E19" s="418">
        <v>1812694</v>
      </c>
      <c r="F19" s="419">
        <v>1812693.41</v>
      </c>
      <c r="G19" s="381">
        <f t="shared" ref="G19:G23" si="1">F19/E19*100</f>
        <v>99.999967451759645</v>
      </c>
    </row>
    <row r="20" spans="1:7" ht="70.5" customHeight="1">
      <c r="A20" s="416">
        <v>2</v>
      </c>
      <c r="B20" s="416">
        <v>852</v>
      </c>
      <c r="C20" s="416">
        <v>85202</v>
      </c>
      <c r="D20" s="417" t="s">
        <v>482</v>
      </c>
      <c r="E20" s="418">
        <v>2053507</v>
      </c>
      <c r="F20" s="419">
        <v>2053507</v>
      </c>
      <c r="G20" s="381">
        <f t="shared" si="1"/>
        <v>100</v>
      </c>
    </row>
    <row r="21" spans="1:7" ht="72">
      <c r="A21" s="416">
        <v>3</v>
      </c>
      <c r="B21" s="416">
        <v>926</v>
      </c>
      <c r="C21" s="416">
        <v>92605</v>
      </c>
      <c r="D21" s="954" t="s">
        <v>499</v>
      </c>
      <c r="E21" s="418">
        <v>30000</v>
      </c>
      <c r="F21" s="419">
        <v>30000</v>
      </c>
      <c r="G21" s="381">
        <f t="shared" si="1"/>
        <v>100</v>
      </c>
    </row>
    <row r="22" spans="1:7" ht="63.75" customHeight="1">
      <c r="A22" s="420">
        <v>4</v>
      </c>
      <c r="B22" s="416">
        <v>926</v>
      </c>
      <c r="C22" s="416">
        <v>92605</v>
      </c>
      <c r="D22" s="417" t="s">
        <v>500</v>
      </c>
      <c r="E22" s="421">
        <v>15000</v>
      </c>
      <c r="F22" s="419">
        <v>15000</v>
      </c>
      <c r="G22" s="381">
        <f t="shared" si="1"/>
        <v>100</v>
      </c>
    </row>
    <row r="23" spans="1:7">
      <c r="A23" s="820" t="s">
        <v>132</v>
      </c>
      <c r="B23" s="821"/>
      <c r="C23" s="821"/>
      <c r="D23" s="822"/>
      <c r="E23" s="379">
        <f>SUM(E19:E22)</f>
        <v>3911201</v>
      </c>
      <c r="F23" s="422">
        <f>F19+F20+F21+F22</f>
        <v>3911200.41</v>
      </c>
      <c r="G23" s="382">
        <f t="shared" si="1"/>
        <v>99.999984915119427</v>
      </c>
    </row>
  </sheetData>
  <mergeCells count="6">
    <mergeCell ref="E1:G1"/>
    <mergeCell ref="A3:G3"/>
    <mergeCell ref="A10:D10"/>
    <mergeCell ref="A23:D23"/>
    <mergeCell ref="A14:G14"/>
    <mergeCell ref="E12:G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&amp;CZałączniki Nr 8 i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24"/>
  <sheetViews>
    <sheetView view="pageLayout" workbookViewId="0">
      <selection activeCell="D13" sqref="D13"/>
    </sheetView>
  </sheetViews>
  <sheetFormatPr defaultRowHeight="12.75"/>
  <cols>
    <col min="1" max="1" width="5" style="227" customWidth="1"/>
    <col min="2" max="2" width="6.28515625" style="227" customWidth="1"/>
    <col min="3" max="3" width="9.140625" style="227"/>
    <col min="4" max="4" width="34.28515625" style="227" customWidth="1"/>
    <col min="5" max="5" width="12.28515625" style="227" customWidth="1"/>
    <col min="6" max="6" width="11.5703125" style="227" customWidth="1"/>
    <col min="7" max="7" width="7.42578125" style="227" customWidth="1"/>
    <col min="8" max="16384" width="9.140625" style="227"/>
  </cols>
  <sheetData>
    <row r="1" spans="1:7">
      <c r="F1" s="786" t="s">
        <v>613</v>
      </c>
      <c r="G1" s="786"/>
    </row>
    <row r="4" spans="1:7" ht="42.75" customHeight="1">
      <c r="A4" s="819" t="s">
        <v>546</v>
      </c>
      <c r="B4" s="819"/>
      <c r="C4" s="819"/>
      <c r="D4" s="819"/>
      <c r="E4" s="819"/>
      <c r="F4" s="819"/>
      <c r="G4" s="819"/>
    </row>
    <row r="5" spans="1:7" ht="15.75">
      <c r="A5" s="309"/>
      <c r="B5" s="309"/>
      <c r="C5" s="309"/>
      <c r="D5" s="309"/>
      <c r="E5" s="309"/>
      <c r="F5" s="309"/>
      <c r="G5" s="309"/>
    </row>
    <row r="6" spans="1:7">
      <c r="G6" s="269" t="s">
        <v>6</v>
      </c>
    </row>
    <row r="7" spans="1:7">
      <c r="A7" s="369" t="s">
        <v>238</v>
      </c>
      <c r="B7" s="369" t="s">
        <v>7</v>
      </c>
      <c r="C7" s="369" t="s">
        <v>152</v>
      </c>
      <c r="D7" s="369" t="s">
        <v>446</v>
      </c>
      <c r="E7" s="369" t="s">
        <v>11</v>
      </c>
      <c r="F7" s="370" t="s">
        <v>12</v>
      </c>
      <c r="G7" s="370" t="s">
        <v>13</v>
      </c>
    </row>
    <row r="8" spans="1:7">
      <c r="A8" s="301">
        <v>1</v>
      </c>
      <c r="B8" s="301">
        <v>2</v>
      </c>
      <c r="C8" s="301">
        <v>3</v>
      </c>
      <c r="D8" s="301">
        <v>4</v>
      </c>
      <c r="E8" s="301">
        <v>5</v>
      </c>
      <c r="F8" s="301">
        <v>6</v>
      </c>
      <c r="G8" s="301">
        <v>7</v>
      </c>
    </row>
    <row r="9" spans="1:7" ht="25.5">
      <c r="A9" s="385">
        <v>1</v>
      </c>
      <c r="B9" s="576">
        <v>853</v>
      </c>
      <c r="C9" s="588">
        <v>85311</v>
      </c>
      <c r="D9" s="414" t="s">
        <v>547</v>
      </c>
      <c r="E9" s="592">
        <v>41100</v>
      </c>
      <c r="F9" s="592">
        <v>41100</v>
      </c>
      <c r="G9" s="390">
        <f>F9/E9*100</f>
        <v>100</v>
      </c>
    </row>
    <row r="10" spans="1:7" ht="25.5">
      <c r="A10" s="388">
        <v>2</v>
      </c>
      <c r="B10" s="386">
        <v>853</v>
      </c>
      <c r="C10" s="387">
        <v>85395</v>
      </c>
      <c r="D10" s="375" t="s">
        <v>449</v>
      </c>
      <c r="E10" s="589">
        <v>233474</v>
      </c>
      <c r="F10" s="590">
        <v>233473.5</v>
      </c>
      <c r="G10" s="390">
        <f>F10/E10*100</f>
        <v>99.99978584339155</v>
      </c>
    </row>
    <row r="11" spans="1:7">
      <c r="A11" s="388">
        <v>3</v>
      </c>
      <c r="B11" s="371">
        <v>853</v>
      </c>
      <c r="C11" s="389">
        <v>85395</v>
      </c>
      <c r="D11" s="375" t="s">
        <v>627</v>
      </c>
      <c r="E11" s="589">
        <f>103108-1.2</f>
        <v>103106.8</v>
      </c>
      <c r="F11" s="591">
        <v>103104.48</v>
      </c>
      <c r="G11" s="390">
        <f t="shared" ref="G11:G18" si="0">F11/E11*100</f>
        <v>99.997749905922788</v>
      </c>
    </row>
    <row r="12" spans="1:7" ht="25.5">
      <c r="A12" s="388">
        <v>4</v>
      </c>
      <c r="B12" s="371">
        <v>853</v>
      </c>
      <c r="C12" s="389">
        <v>85395</v>
      </c>
      <c r="D12" s="375" t="s">
        <v>450</v>
      </c>
      <c r="E12" s="589">
        <v>137385</v>
      </c>
      <c r="F12" s="591">
        <v>137385</v>
      </c>
      <c r="G12" s="390">
        <f t="shared" si="0"/>
        <v>100</v>
      </c>
    </row>
    <row r="13" spans="1:7" ht="25.5">
      <c r="A13" s="385">
        <v>5</v>
      </c>
      <c r="B13" s="371">
        <v>853</v>
      </c>
      <c r="C13" s="389">
        <v>85395</v>
      </c>
      <c r="D13" s="375" t="s">
        <v>451</v>
      </c>
      <c r="E13" s="589">
        <v>83136</v>
      </c>
      <c r="F13" s="591">
        <v>83135.7</v>
      </c>
      <c r="G13" s="390">
        <f t="shared" si="0"/>
        <v>99.999639145496531</v>
      </c>
    </row>
    <row r="14" spans="1:7" ht="24.75" customHeight="1">
      <c r="A14" s="388">
        <v>6</v>
      </c>
      <c r="B14" s="609">
        <v>921</v>
      </c>
      <c r="C14" s="389">
        <v>92105</v>
      </c>
      <c r="D14" s="375" t="s">
        <v>543</v>
      </c>
      <c r="E14" s="589">
        <v>10000</v>
      </c>
      <c r="F14" s="591">
        <v>10000</v>
      </c>
      <c r="G14" s="610">
        <f t="shared" si="0"/>
        <v>100</v>
      </c>
    </row>
    <row r="15" spans="1:7" ht="24.75" customHeight="1">
      <c r="A15" s="388">
        <v>7</v>
      </c>
      <c r="B15" s="576">
        <v>921</v>
      </c>
      <c r="C15" s="588">
        <v>92105</v>
      </c>
      <c r="D15" s="608" t="s">
        <v>544</v>
      </c>
      <c r="E15" s="592">
        <v>10000</v>
      </c>
      <c r="F15" s="592">
        <v>10000</v>
      </c>
      <c r="G15" s="610">
        <f t="shared" si="0"/>
        <v>100</v>
      </c>
    </row>
    <row r="16" spans="1:7" ht="25.5" customHeight="1">
      <c r="A16" s="388">
        <v>8</v>
      </c>
      <c r="B16" s="576">
        <v>921</v>
      </c>
      <c r="C16" s="588">
        <v>92116</v>
      </c>
      <c r="D16" s="608" t="s">
        <v>542</v>
      </c>
      <c r="E16" s="592">
        <v>54000</v>
      </c>
      <c r="F16" s="592">
        <v>54000</v>
      </c>
      <c r="G16" s="610">
        <f t="shared" si="0"/>
        <v>100</v>
      </c>
    </row>
    <row r="17" spans="1:7" ht="25.5">
      <c r="A17" s="385">
        <v>9</v>
      </c>
      <c r="B17" s="371">
        <v>926</v>
      </c>
      <c r="C17" s="371">
        <v>92605</v>
      </c>
      <c r="D17" s="375" t="s">
        <v>545</v>
      </c>
      <c r="E17" s="611">
        <v>6500</v>
      </c>
      <c r="F17" s="612">
        <v>6500</v>
      </c>
      <c r="G17" s="610">
        <f t="shared" si="0"/>
        <v>100</v>
      </c>
    </row>
    <row r="18" spans="1:7">
      <c r="A18" s="823" t="s">
        <v>132</v>
      </c>
      <c r="B18" s="824"/>
      <c r="C18" s="824"/>
      <c r="D18" s="825"/>
      <c r="E18" s="593">
        <f>SUM(E9:E17)</f>
        <v>678701.8</v>
      </c>
      <c r="F18" s="593">
        <f>SUM(F9:F17)</f>
        <v>678698.67999999993</v>
      </c>
      <c r="G18" s="391">
        <f t="shared" si="0"/>
        <v>99.999540298846995</v>
      </c>
    </row>
    <row r="24" spans="1:7" ht="33" customHeight="1"/>
  </sheetData>
  <mergeCells count="3">
    <mergeCell ref="F1:G1"/>
    <mergeCell ref="A4:G4"/>
    <mergeCell ref="A18:D18"/>
  </mergeCells>
  <pageMargins left="0.7" right="0.7" top="0.75" bottom="0.75" header="0.3" footer="0.3"/>
  <pageSetup paperSize="9" orientation="portrait" r:id="rId1"/>
  <headerFooter>
    <oddFooter>&amp;CZałączniki Nr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26"/>
  <sheetViews>
    <sheetView view="pageLayout" workbookViewId="0">
      <selection activeCell="D24" sqref="D24"/>
    </sheetView>
  </sheetViews>
  <sheetFormatPr defaultRowHeight="12.75"/>
  <cols>
    <col min="1" max="1" width="3.42578125" bestFit="1" customWidth="1"/>
    <col min="2" max="2" width="4.7109375" bestFit="1" customWidth="1"/>
    <col min="3" max="3" width="7.28515625" bestFit="1" customWidth="1"/>
    <col min="4" max="4" width="21.42578125" customWidth="1"/>
    <col min="5" max="5" width="18.140625" customWidth="1"/>
    <col min="7" max="7" width="12.140625" customWidth="1"/>
  </cols>
  <sheetData>
    <row r="1" spans="1:8">
      <c r="G1" s="826" t="s">
        <v>626</v>
      </c>
      <c r="H1" s="826"/>
    </row>
    <row r="3" spans="1:8" ht="15.75">
      <c r="A3" s="827" t="s">
        <v>484</v>
      </c>
      <c r="B3" s="827"/>
      <c r="C3" s="827"/>
      <c r="D3" s="827"/>
      <c r="E3" s="827"/>
      <c r="F3" s="827"/>
      <c r="G3" s="827"/>
      <c r="H3" s="827"/>
    </row>
    <row r="4" spans="1:8" ht="15.75">
      <c r="A4" s="827" t="s">
        <v>485</v>
      </c>
      <c r="B4" s="827"/>
      <c r="C4" s="827"/>
      <c r="D4" s="827"/>
      <c r="E4" s="827"/>
      <c r="F4" s="827"/>
      <c r="G4" s="827"/>
      <c r="H4" s="827"/>
    </row>
    <row r="5" spans="1:8" ht="15.75">
      <c r="A5" s="827" t="s">
        <v>525</v>
      </c>
      <c r="B5" s="827"/>
      <c r="C5" s="827"/>
      <c r="D5" s="827"/>
      <c r="E5" s="827"/>
      <c r="F5" s="827"/>
      <c r="G5" s="827"/>
      <c r="H5" s="827"/>
    </row>
    <row r="6" spans="1:8" ht="15.75">
      <c r="A6" s="297"/>
      <c r="B6" s="297"/>
      <c r="C6" s="297"/>
      <c r="D6" s="297"/>
      <c r="E6" s="297"/>
      <c r="F6" s="298"/>
      <c r="G6" s="269" t="s">
        <v>6</v>
      </c>
      <c r="H6" s="227"/>
    </row>
    <row r="7" spans="1:8" ht="25.5">
      <c r="A7" s="299" t="s">
        <v>238</v>
      </c>
      <c r="B7" s="299" t="s">
        <v>7</v>
      </c>
      <c r="C7" s="299" t="s">
        <v>152</v>
      </c>
      <c r="D7" s="299" t="s">
        <v>446</v>
      </c>
      <c r="E7" s="300" t="s">
        <v>486</v>
      </c>
      <c r="F7" s="300" t="s">
        <v>483</v>
      </c>
      <c r="G7" s="299" t="s">
        <v>12</v>
      </c>
      <c r="H7" s="299" t="s">
        <v>13</v>
      </c>
    </row>
    <row r="8" spans="1:8">
      <c r="A8" s="301">
        <v>1</v>
      </c>
      <c r="B8" s="301">
        <v>2</v>
      </c>
      <c r="C8" s="301">
        <v>3</v>
      </c>
      <c r="D8" s="301">
        <v>4</v>
      </c>
      <c r="E8" s="301">
        <v>5</v>
      </c>
      <c r="F8" s="301">
        <v>6</v>
      </c>
      <c r="G8" s="302">
        <v>7</v>
      </c>
      <c r="H8" s="302">
        <v>8</v>
      </c>
    </row>
    <row r="9" spans="1:8" ht="51">
      <c r="A9" s="303">
        <v>1</v>
      </c>
      <c r="B9" s="577">
        <v>754</v>
      </c>
      <c r="C9" s="577">
        <v>75405</v>
      </c>
      <c r="D9" s="414" t="s">
        <v>529</v>
      </c>
      <c r="E9" s="304" t="s">
        <v>487</v>
      </c>
      <c r="F9" s="613">
        <v>35000</v>
      </c>
      <c r="G9" s="614">
        <v>35000</v>
      </c>
      <c r="H9" s="305">
        <f>G9/F9*100</f>
        <v>100</v>
      </c>
    </row>
    <row r="10" spans="1:8">
      <c r="A10" s="823" t="s">
        <v>132</v>
      </c>
      <c r="B10" s="824"/>
      <c r="C10" s="824"/>
      <c r="D10" s="824"/>
      <c r="E10" s="825"/>
      <c r="F10" s="615">
        <f>SUM(F9:F9)</f>
        <v>35000</v>
      </c>
      <c r="G10" s="616">
        <f>SUM(G9:G9)</f>
        <v>35000</v>
      </c>
      <c r="H10" s="306">
        <f>G10/F10*100</f>
        <v>100</v>
      </c>
    </row>
    <row r="15" spans="1:8">
      <c r="A15" s="227"/>
      <c r="B15" s="227"/>
      <c r="C15" s="227"/>
      <c r="D15" s="227"/>
      <c r="E15" s="227"/>
      <c r="F15" s="227"/>
      <c r="G15" s="786" t="s">
        <v>614</v>
      </c>
      <c r="H15" s="786"/>
    </row>
    <row r="16" spans="1:8">
      <c r="A16" s="227"/>
      <c r="B16" s="227"/>
      <c r="C16" s="227"/>
      <c r="D16" s="227"/>
      <c r="E16" s="227"/>
      <c r="F16" s="227"/>
      <c r="G16" s="227"/>
      <c r="H16" s="227"/>
    </row>
    <row r="17" spans="1:8" ht="15.75">
      <c r="A17" s="827" t="s">
        <v>530</v>
      </c>
      <c r="B17" s="827"/>
      <c r="C17" s="827"/>
      <c r="D17" s="827"/>
      <c r="E17" s="827"/>
      <c r="F17" s="827"/>
      <c r="G17" s="827"/>
      <c r="H17" s="827"/>
    </row>
    <row r="18" spans="1:8" ht="15.75">
      <c r="A18" s="827" t="s">
        <v>531</v>
      </c>
      <c r="B18" s="827"/>
      <c r="C18" s="827"/>
      <c r="D18" s="827"/>
      <c r="E18" s="827"/>
      <c r="F18" s="827"/>
      <c r="G18" s="827"/>
      <c r="H18" s="827"/>
    </row>
    <row r="19" spans="1:8" ht="15.75">
      <c r="A19" s="827" t="s">
        <v>518</v>
      </c>
      <c r="B19" s="827"/>
      <c r="C19" s="827"/>
      <c r="D19" s="827"/>
      <c r="E19" s="827"/>
      <c r="F19" s="827"/>
      <c r="G19" s="827"/>
      <c r="H19" s="827"/>
    </row>
    <row r="20" spans="1:8" ht="15.75">
      <c r="A20" s="297"/>
      <c r="B20" s="297"/>
      <c r="C20" s="297"/>
      <c r="D20" s="297"/>
      <c r="E20" s="297"/>
      <c r="F20" s="298"/>
      <c r="G20" s="269" t="s">
        <v>6</v>
      </c>
      <c r="H20" s="227"/>
    </row>
    <row r="21" spans="1:8">
      <c r="A21" s="299" t="s">
        <v>238</v>
      </c>
      <c r="B21" s="299" t="s">
        <v>7</v>
      </c>
      <c r="C21" s="299" t="s">
        <v>152</v>
      </c>
      <c r="D21" s="299" t="s">
        <v>446</v>
      </c>
      <c r="E21" s="300" t="s">
        <v>532</v>
      </c>
      <c r="F21" s="300" t="s">
        <v>11</v>
      </c>
      <c r="G21" s="299" t="s">
        <v>12</v>
      </c>
      <c r="H21" s="299" t="s">
        <v>13</v>
      </c>
    </row>
    <row r="22" spans="1:8">
      <c r="A22" s="301">
        <v>1</v>
      </c>
      <c r="B22" s="301">
        <v>2</v>
      </c>
      <c r="C22" s="301">
        <v>3</v>
      </c>
      <c r="D22" s="301">
        <v>4</v>
      </c>
      <c r="E22" s="301">
        <v>5</v>
      </c>
      <c r="F22" s="301">
        <v>6</v>
      </c>
      <c r="G22" s="302">
        <v>7</v>
      </c>
      <c r="H22" s="302">
        <v>8</v>
      </c>
    </row>
    <row r="23" spans="1:8" s="20" customFormat="1" ht="84">
      <c r="A23" s="600">
        <v>1</v>
      </c>
      <c r="B23" s="600">
        <v>851</v>
      </c>
      <c r="C23" s="600">
        <v>85111</v>
      </c>
      <c r="D23" s="602" t="s">
        <v>631</v>
      </c>
      <c r="E23" s="601" t="s">
        <v>536</v>
      </c>
      <c r="F23" s="603">
        <v>13042</v>
      </c>
      <c r="G23" s="604">
        <v>13041.1</v>
      </c>
      <c r="H23" s="305">
        <v>100</v>
      </c>
    </row>
    <row r="24" spans="1:8" ht="38.25">
      <c r="A24" s="576">
        <v>2</v>
      </c>
      <c r="B24" s="576">
        <v>852</v>
      </c>
      <c r="C24" s="576">
        <v>85201</v>
      </c>
      <c r="D24" s="617" t="s">
        <v>533</v>
      </c>
      <c r="E24" s="294" t="s">
        <v>534</v>
      </c>
      <c r="F24" s="606">
        <v>97</v>
      </c>
      <c r="G24" s="607">
        <v>97</v>
      </c>
      <c r="H24" s="305">
        <v>100</v>
      </c>
    </row>
    <row r="25" spans="1:8" ht="38.25">
      <c r="A25" s="594">
        <v>3</v>
      </c>
      <c r="B25" s="594">
        <v>853</v>
      </c>
      <c r="C25" s="594">
        <v>85395</v>
      </c>
      <c r="D25" s="595" t="s">
        <v>535</v>
      </c>
      <c r="E25" s="294" t="s">
        <v>534</v>
      </c>
      <c r="F25" s="607">
        <v>1321</v>
      </c>
      <c r="G25" s="607">
        <v>1319.19</v>
      </c>
      <c r="H25" s="305">
        <v>100</v>
      </c>
    </row>
    <row r="26" spans="1:8">
      <c r="A26" s="823" t="s">
        <v>132</v>
      </c>
      <c r="B26" s="824"/>
      <c r="C26" s="824"/>
      <c r="D26" s="824"/>
      <c r="E26" s="825"/>
      <c r="F26" s="605">
        <f>F25+F24+F23</f>
        <v>14460</v>
      </c>
      <c r="G26" s="605">
        <f>G25+G24+G23</f>
        <v>14457.29</v>
      </c>
      <c r="H26" s="596">
        <f>H25</f>
        <v>100</v>
      </c>
    </row>
  </sheetData>
  <mergeCells count="10">
    <mergeCell ref="G1:H1"/>
    <mergeCell ref="G15:H15"/>
    <mergeCell ref="A19:H19"/>
    <mergeCell ref="A26:E26"/>
    <mergeCell ref="A3:H3"/>
    <mergeCell ref="A4:H4"/>
    <mergeCell ref="A5:H5"/>
    <mergeCell ref="A10:E10"/>
    <mergeCell ref="A17:H17"/>
    <mergeCell ref="A18:H18"/>
  </mergeCells>
  <pageMargins left="0.7" right="0.7" top="0.75" bottom="0.75" header="0.3" footer="0.3"/>
  <pageSetup paperSize="9" orientation="portrait" r:id="rId1"/>
  <headerFooter>
    <oddFooter>&amp;CZałącznik Nr 11 i 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M83"/>
  <sheetViews>
    <sheetView view="pageLayout" workbookViewId="0">
      <selection activeCell="C63" sqref="C63"/>
    </sheetView>
  </sheetViews>
  <sheetFormatPr defaultColWidth="9" defaultRowHeight="12.75"/>
  <cols>
    <col min="1" max="1" width="4.42578125" customWidth="1"/>
    <col min="2" max="2" width="5" customWidth="1"/>
    <col min="3" max="3" width="30.85546875" customWidth="1"/>
    <col min="4" max="4" width="11" customWidth="1"/>
    <col min="5" max="5" width="11.42578125" customWidth="1"/>
    <col min="6" max="6" width="10.7109375" customWidth="1"/>
    <col min="7" max="7" width="10.5703125" customWidth="1"/>
    <col min="8" max="8" width="10.7109375" customWidth="1"/>
    <col min="9" max="9" width="10.140625" customWidth="1"/>
    <col min="10" max="10" width="9" customWidth="1"/>
    <col min="11" max="11" width="10.5703125" customWidth="1"/>
    <col min="12" max="12" width="6.42578125" customWidth="1"/>
  </cols>
  <sheetData>
    <row r="1" spans="1:13" ht="11.1" customHeight="1">
      <c r="A1" s="2"/>
      <c r="B1" s="2"/>
      <c r="C1" s="2"/>
      <c r="D1" s="2"/>
      <c r="E1" s="2"/>
      <c r="F1" s="2"/>
      <c r="G1" s="2"/>
      <c r="H1" s="2"/>
      <c r="I1" s="841" t="s">
        <v>398</v>
      </c>
      <c r="J1" s="841"/>
      <c r="K1" s="841"/>
      <c r="L1" s="841"/>
    </row>
    <row r="2" spans="1:13" ht="15.75">
      <c r="A2" s="756" t="s">
        <v>126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</row>
    <row r="3" spans="1:13" ht="14.25" customHeight="1">
      <c r="A3" s="801" t="s">
        <v>148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</row>
    <row r="4" spans="1:13" ht="15.75">
      <c r="A4" s="756" t="s">
        <v>518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</row>
    <row r="5" spans="1:13" ht="10.3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5" t="s">
        <v>6</v>
      </c>
      <c r="L5" s="2"/>
    </row>
    <row r="6" spans="1:13" s="7" customFormat="1" ht="12.75" customHeight="1">
      <c r="A6" s="758" t="s">
        <v>7</v>
      </c>
      <c r="B6" s="758" t="s">
        <v>127</v>
      </c>
      <c r="C6" s="758" t="s">
        <v>10</v>
      </c>
      <c r="D6" s="758" t="s">
        <v>128</v>
      </c>
      <c r="E6" s="758" t="s">
        <v>12</v>
      </c>
      <c r="F6" s="842" t="s">
        <v>327</v>
      </c>
      <c r="G6" s="842"/>
      <c r="H6" s="842"/>
      <c r="I6" s="842"/>
      <c r="J6" s="842"/>
      <c r="K6" s="842"/>
      <c r="L6" s="758" t="s">
        <v>129</v>
      </c>
    </row>
    <row r="7" spans="1:13" s="7" customFormat="1" ht="12.75" customHeight="1">
      <c r="A7" s="758"/>
      <c r="B7" s="758"/>
      <c r="C7" s="758"/>
      <c r="D7" s="758"/>
      <c r="E7" s="758"/>
      <c r="F7" s="743" t="s">
        <v>130</v>
      </c>
      <c r="G7" s="743"/>
      <c r="H7" s="743"/>
      <c r="I7" s="743"/>
      <c r="J7" s="743"/>
      <c r="K7" s="758" t="s">
        <v>131</v>
      </c>
      <c r="L7" s="758"/>
    </row>
    <row r="8" spans="1:13" s="7" customFormat="1" ht="12.75" customHeight="1">
      <c r="A8" s="758"/>
      <c r="B8" s="758"/>
      <c r="C8" s="758"/>
      <c r="D8" s="758"/>
      <c r="E8" s="758"/>
      <c r="F8" s="744" t="s">
        <v>132</v>
      </c>
      <c r="G8" s="832" t="s">
        <v>133</v>
      </c>
      <c r="H8" s="833"/>
      <c r="I8" s="833"/>
      <c r="J8" s="834"/>
      <c r="K8" s="758"/>
      <c r="L8" s="758"/>
    </row>
    <row r="9" spans="1:13" s="7" customFormat="1" ht="23.25" customHeight="1">
      <c r="A9" s="758"/>
      <c r="B9" s="758"/>
      <c r="C9" s="758"/>
      <c r="D9" s="758"/>
      <c r="E9" s="758"/>
      <c r="F9" s="744"/>
      <c r="G9" s="128" t="s">
        <v>453</v>
      </c>
      <c r="H9" s="128" t="s">
        <v>410</v>
      </c>
      <c r="I9" s="128" t="s">
        <v>134</v>
      </c>
      <c r="J9" s="128" t="s">
        <v>135</v>
      </c>
      <c r="K9" s="758"/>
      <c r="L9" s="758"/>
    </row>
    <row r="10" spans="1:13" s="18" customFormat="1" ht="10.5">
      <c r="A10" s="66">
        <v>1</v>
      </c>
      <c r="B10" s="66">
        <v>2</v>
      </c>
      <c r="C10" s="66">
        <v>3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6">
        <v>10</v>
      </c>
      <c r="K10" s="66">
        <v>11</v>
      </c>
      <c r="L10" s="66">
        <v>12</v>
      </c>
    </row>
    <row r="11" spans="1:13" s="18" customFormat="1" ht="12">
      <c r="A11" s="236" t="s">
        <v>14</v>
      </c>
      <c r="B11" s="236"/>
      <c r="C11" s="102" t="s">
        <v>15</v>
      </c>
      <c r="D11" s="495">
        <f>D12</f>
        <v>8455</v>
      </c>
      <c r="E11" s="237">
        <f>E12</f>
        <v>8455</v>
      </c>
      <c r="F11" s="237">
        <f>F12</f>
        <v>8455</v>
      </c>
      <c r="G11" s="157"/>
      <c r="H11" s="157"/>
      <c r="I11" s="157"/>
      <c r="J11" s="157"/>
      <c r="K11" s="157"/>
      <c r="L11" s="234">
        <f>E11/D11*100</f>
        <v>100</v>
      </c>
    </row>
    <row r="12" spans="1:13" s="18" customFormat="1" ht="12">
      <c r="A12" s="66"/>
      <c r="B12" s="73" t="s">
        <v>324</v>
      </c>
      <c r="C12" s="72" t="s">
        <v>88</v>
      </c>
      <c r="D12" s="496">
        <v>8455</v>
      </c>
      <c r="E12" s="238">
        <v>8455</v>
      </c>
      <c r="F12" s="70">
        <f>E12</f>
        <v>8455</v>
      </c>
      <c r="G12" s="70"/>
      <c r="H12" s="70"/>
      <c r="I12" s="70"/>
      <c r="J12" s="70"/>
      <c r="K12" s="70"/>
      <c r="L12" s="276">
        <f t="shared" ref="L12:L78" si="0">E12/D12*100</f>
        <v>100</v>
      </c>
    </row>
    <row r="13" spans="1:13">
      <c r="A13" s="111" t="s">
        <v>23</v>
      </c>
      <c r="B13" s="111"/>
      <c r="C13" s="112" t="s">
        <v>24</v>
      </c>
      <c r="D13" s="278">
        <f>D14+D15+D16</f>
        <v>301983</v>
      </c>
      <c r="E13" s="278">
        <f t="shared" ref="E13:K13" si="1">E14+E15+E16</f>
        <v>270994.79000000004</v>
      </c>
      <c r="F13" s="278">
        <f t="shared" si="1"/>
        <v>270994.79000000004</v>
      </c>
      <c r="G13" s="278">
        <f t="shared" si="1"/>
        <v>0</v>
      </c>
      <c r="H13" s="278">
        <f t="shared" si="1"/>
        <v>0</v>
      </c>
      <c r="I13" s="278">
        <f t="shared" si="1"/>
        <v>0</v>
      </c>
      <c r="J13" s="278">
        <f t="shared" si="1"/>
        <v>0</v>
      </c>
      <c r="K13" s="278">
        <f t="shared" si="1"/>
        <v>0</v>
      </c>
      <c r="L13" s="234">
        <f>E13/D13*100</f>
        <v>89.738425672968361</v>
      </c>
      <c r="M13" s="98"/>
    </row>
    <row r="14" spans="1:13">
      <c r="A14" s="829"/>
      <c r="B14" s="68" t="s">
        <v>25</v>
      </c>
      <c r="C14" s="72" t="s">
        <v>26</v>
      </c>
      <c r="D14" s="496">
        <v>252000</v>
      </c>
      <c r="E14" s="70">
        <v>245223.53</v>
      </c>
      <c r="F14" s="70">
        <f>E14</f>
        <v>245223.53</v>
      </c>
      <c r="G14" s="70"/>
      <c r="H14" s="70"/>
      <c r="I14" s="70"/>
      <c r="J14" s="70"/>
      <c r="K14" s="70"/>
      <c r="L14" s="235">
        <f t="shared" si="0"/>
        <v>97.310924603174598</v>
      </c>
      <c r="M14" s="98"/>
    </row>
    <row r="15" spans="1:13">
      <c r="A15" s="830"/>
      <c r="B15" s="68" t="s">
        <v>30</v>
      </c>
      <c r="C15" s="123" t="s">
        <v>136</v>
      </c>
      <c r="D15" s="496">
        <v>49953</v>
      </c>
      <c r="E15" s="70">
        <v>25742.06</v>
      </c>
      <c r="F15" s="70">
        <f>E15</f>
        <v>25742.06</v>
      </c>
      <c r="G15" s="70"/>
      <c r="H15" s="70"/>
      <c r="I15" s="279"/>
      <c r="J15" s="279"/>
      <c r="K15" s="70"/>
      <c r="L15" s="235">
        <f t="shared" si="0"/>
        <v>51.532560606970556</v>
      </c>
      <c r="M15" s="98"/>
    </row>
    <row r="16" spans="1:13">
      <c r="A16" s="831"/>
      <c r="B16" s="75" t="s">
        <v>514</v>
      </c>
      <c r="C16" s="123" t="s">
        <v>88</v>
      </c>
      <c r="D16" s="496">
        <v>30</v>
      </c>
      <c r="E16" s="70">
        <v>29.2</v>
      </c>
      <c r="F16" s="70">
        <f>E16</f>
        <v>29.2</v>
      </c>
      <c r="G16" s="70"/>
      <c r="H16" s="70"/>
      <c r="I16" s="279"/>
      <c r="J16" s="279"/>
      <c r="K16" s="70"/>
      <c r="L16" s="235"/>
      <c r="M16" s="98"/>
    </row>
    <row r="17" spans="1:13">
      <c r="A17" s="111">
        <v>150</v>
      </c>
      <c r="B17" s="111"/>
      <c r="C17" s="125" t="s">
        <v>33</v>
      </c>
      <c r="D17" s="278">
        <f>D18</f>
        <v>38307</v>
      </c>
      <c r="E17" s="80">
        <f>E18</f>
        <v>37726.06</v>
      </c>
      <c r="F17" s="80">
        <f>F18</f>
        <v>37726.06</v>
      </c>
      <c r="G17" s="80">
        <f>G18</f>
        <v>24811.46</v>
      </c>
      <c r="H17" s="80">
        <f t="shared" ref="H17:K17" si="2">H18</f>
        <v>4082.16</v>
      </c>
      <c r="I17" s="279">
        <f t="shared" si="2"/>
        <v>0</v>
      </c>
      <c r="J17" s="279">
        <f t="shared" si="2"/>
        <v>0</v>
      </c>
      <c r="K17" s="279">
        <f t="shared" si="2"/>
        <v>0</v>
      </c>
      <c r="L17" s="234">
        <f t="shared" si="0"/>
        <v>98.483462552536082</v>
      </c>
      <c r="M17" s="98"/>
    </row>
    <row r="18" spans="1:13">
      <c r="A18" s="68"/>
      <c r="B18" s="68">
        <v>15011</v>
      </c>
      <c r="C18" s="123" t="s">
        <v>34</v>
      </c>
      <c r="D18" s="496">
        <v>38307</v>
      </c>
      <c r="E18" s="70">
        <v>37726.06</v>
      </c>
      <c r="F18" s="70">
        <f>E18</f>
        <v>37726.06</v>
      </c>
      <c r="G18" s="70">
        <f>15937.86+1973.6+6900</f>
        <v>24811.46</v>
      </c>
      <c r="H18" s="70">
        <f>3571.45+510.71</f>
        <v>4082.16</v>
      </c>
      <c r="I18" s="279"/>
      <c r="J18" s="279"/>
      <c r="K18" s="70"/>
      <c r="L18" s="235">
        <f t="shared" si="0"/>
        <v>98.483462552536082</v>
      </c>
      <c r="M18" s="98"/>
    </row>
    <row r="19" spans="1:13">
      <c r="A19" s="111">
        <v>600</v>
      </c>
      <c r="B19" s="111"/>
      <c r="C19" s="125" t="s">
        <v>36</v>
      </c>
      <c r="D19" s="278">
        <f>D20+D21</f>
        <v>7123458</v>
      </c>
      <c r="E19" s="278">
        <f t="shared" ref="E19:K19" si="3">E20+E21</f>
        <v>7108572.2199999997</v>
      </c>
      <c r="F19" s="278">
        <f t="shared" si="3"/>
        <v>3625830.3099999996</v>
      </c>
      <c r="G19" s="278">
        <f t="shared" si="3"/>
        <v>620870.88</v>
      </c>
      <c r="H19" s="278">
        <f t="shared" si="3"/>
        <v>105906.83</v>
      </c>
      <c r="I19" s="278">
        <f t="shared" si="3"/>
        <v>0</v>
      </c>
      <c r="J19" s="278">
        <f t="shared" si="3"/>
        <v>0</v>
      </c>
      <c r="K19" s="278">
        <f t="shared" si="3"/>
        <v>3482741.91</v>
      </c>
      <c r="L19" s="234">
        <f t="shared" si="0"/>
        <v>99.791031546757196</v>
      </c>
      <c r="M19" s="98"/>
    </row>
    <row r="20" spans="1:13">
      <c r="A20" s="829"/>
      <c r="B20" s="68">
        <v>60014</v>
      </c>
      <c r="C20" s="123" t="s">
        <v>37</v>
      </c>
      <c r="D20" s="496">
        <v>6921506</v>
      </c>
      <c r="E20" s="70">
        <v>6906620.2199999997</v>
      </c>
      <c r="F20" s="70">
        <f>E20-K20</f>
        <v>3625830.3099999996</v>
      </c>
      <c r="G20" s="70">
        <f>578635.24+40942.36+1293.28</f>
        <v>620870.88</v>
      </c>
      <c r="H20" s="70">
        <f>92439.5+13467.33</f>
        <v>105906.83</v>
      </c>
      <c r="I20" s="279"/>
      <c r="J20" s="279"/>
      <c r="K20" s="70">
        <f>95670.68+3042501.23+118218+24400</f>
        <v>3280789.91</v>
      </c>
      <c r="L20" s="235">
        <f t="shared" si="0"/>
        <v>99.784934376998308</v>
      </c>
      <c r="M20" s="98"/>
    </row>
    <row r="21" spans="1:13">
      <c r="A21" s="831"/>
      <c r="B21" s="583">
        <v>60016</v>
      </c>
      <c r="C21" s="123" t="s">
        <v>608</v>
      </c>
      <c r="D21" s="496">
        <v>201952</v>
      </c>
      <c r="E21" s="70">
        <v>201952</v>
      </c>
      <c r="F21" s="70"/>
      <c r="G21" s="70"/>
      <c r="H21" s="70"/>
      <c r="I21" s="279"/>
      <c r="J21" s="279"/>
      <c r="K21" s="70">
        <f>E21</f>
        <v>201952</v>
      </c>
      <c r="L21" s="235">
        <f t="shared" si="0"/>
        <v>100</v>
      </c>
      <c r="M21" s="98"/>
    </row>
    <row r="22" spans="1:13">
      <c r="A22" s="111">
        <v>700</v>
      </c>
      <c r="B22" s="111"/>
      <c r="C22" s="125" t="s">
        <v>44</v>
      </c>
      <c r="D22" s="278">
        <f>D23+D24</f>
        <v>459708</v>
      </c>
      <c r="E22" s="278">
        <f t="shared" ref="E22:K22" si="4">E23+E24</f>
        <v>457113.26</v>
      </c>
      <c r="F22" s="278">
        <f t="shared" si="4"/>
        <v>337348.36</v>
      </c>
      <c r="G22" s="278">
        <f t="shared" si="4"/>
        <v>0</v>
      </c>
      <c r="H22" s="278">
        <f t="shared" si="4"/>
        <v>0</v>
      </c>
      <c r="I22" s="278">
        <f t="shared" si="4"/>
        <v>0</v>
      </c>
      <c r="J22" s="278">
        <f t="shared" si="4"/>
        <v>0</v>
      </c>
      <c r="K22" s="278">
        <f t="shared" si="4"/>
        <v>119764.9</v>
      </c>
      <c r="L22" s="234">
        <f t="shared" si="0"/>
        <v>99.435567795209138</v>
      </c>
      <c r="M22" s="98"/>
    </row>
    <row r="23" spans="1:13">
      <c r="A23" s="829" t="s">
        <v>16</v>
      </c>
      <c r="B23" s="68">
        <v>70005</v>
      </c>
      <c r="C23" s="123" t="s">
        <v>45</v>
      </c>
      <c r="D23" s="496">
        <v>449708</v>
      </c>
      <c r="E23" s="70">
        <v>447113.26</v>
      </c>
      <c r="F23" s="70">
        <f>E23-K23</f>
        <v>337348.36</v>
      </c>
      <c r="G23" s="70"/>
      <c r="H23" s="70"/>
      <c r="I23" s="279"/>
      <c r="J23" s="279"/>
      <c r="K23" s="70">
        <f>11919.4+97845.5</f>
        <v>109764.9</v>
      </c>
      <c r="L23" s="235">
        <f t="shared" si="0"/>
        <v>99.423016713067142</v>
      </c>
      <c r="M23" s="98"/>
    </row>
    <row r="24" spans="1:13">
      <c r="A24" s="831"/>
      <c r="B24" s="583">
        <v>70095</v>
      </c>
      <c r="C24" s="123" t="s">
        <v>88</v>
      </c>
      <c r="D24" s="496">
        <v>10000</v>
      </c>
      <c r="E24" s="70">
        <v>10000</v>
      </c>
      <c r="F24" s="70"/>
      <c r="G24" s="70"/>
      <c r="H24" s="70"/>
      <c r="I24" s="279"/>
      <c r="J24" s="279"/>
      <c r="K24" s="70">
        <v>10000</v>
      </c>
      <c r="L24" s="235">
        <f t="shared" si="0"/>
        <v>100</v>
      </c>
      <c r="M24" s="98"/>
    </row>
    <row r="25" spans="1:13">
      <c r="A25" s="111">
        <v>750</v>
      </c>
      <c r="B25" s="111"/>
      <c r="C25" s="112" t="s">
        <v>53</v>
      </c>
      <c r="D25" s="278">
        <f>SUM(D26:D29)</f>
        <v>5221076</v>
      </c>
      <c r="E25" s="80">
        <f>SUM(E26:E29)</f>
        <v>5208781.3999999994</v>
      </c>
      <c r="F25" s="80">
        <f>SUM(F26:F29)</f>
        <v>5170877.3999999994</v>
      </c>
      <c r="G25" s="80">
        <f>SUM(G26:G29)</f>
        <v>2796022.6899999995</v>
      </c>
      <c r="H25" s="80">
        <f t="shared" ref="H25:K25" si="5">SUM(H26:H29)</f>
        <v>443577.19</v>
      </c>
      <c r="I25" s="279">
        <f t="shared" si="5"/>
        <v>0</v>
      </c>
      <c r="J25" s="279">
        <f t="shared" si="5"/>
        <v>0</v>
      </c>
      <c r="K25" s="80">
        <f t="shared" si="5"/>
        <v>37904</v>
      </c>
      <c r="L25" s="234">
        <f t="shared" si="0"/>
        <v>99.764519803963765</v>
      </c>
      <c r="M25" s="98"/>
    </row>
    <row r="26" spans="1:13">
      <c r="A26" s="802"/>
      <c r="B26" s="68">
        <v>75019</v>
      </c>
      <c r="C26" s="72" t="s">
        <v>55</v>
      </c>
      <c r="D26" s="496">
        <v>205726</v>
      </c>
      <c r="E26" s="70">
        <v>205721.13</v>
      </c>
      <c r="F26" s="70">
        <f>E26</f>
        <v>205721.13</v>
      </c>
      <c r="G26" s="70"/>
      <c r="H26" s="70"/>
      <c r="I26" s="70"/>
      <c r="J26" s="70"/>
      <c r="K26" s="70"/>
      <c r="L26" s="235">
        <f t="shared" si="0"/>
        <v>99.997632773689276</v>
      </c>
      <c r="M26" s="98"/>
    </row>
    <row r="27" spans="1:13">
      <c r="A27" s="802"/>
      <c r="B27" s="68">
        <v>75020</v>
      </c>
      <c r="C27" s="72" t="s">
        <v>56</v>
      </c>
      <c r="D27" s="496">
        <v>4588587</v>
      </c>
      <c r="E27" s="70">
        <v>4576299.43</v>
      </c>
      <c r="F27" s="70">
        <f>E27-K27</f>
        <v>4542787.43</v>
      </c>
      <c r="G27" s="70">
        <f>2514956.51+178315.9+72817.28</f>
        <v>2766089.6899999995</v>
      </c>
      <c r="H27" s="70">
        <f>382500.38+61076.81</f>
        <v>443577.19</v>
      </c>
      <c r="I27" s="70"/>
      <c r="J27" s="70"/>
      <c r="K27" s="70">
        <f>2172+8540+22800</f>
        <v>33512</v>
      </c>
      <c r="L27" s="235">
        <f t="shared" si="0"/>
        <v>99.732214513966937</v>
      </c>
      <c r="M27" s="98"/>
    </row>
    <row r="28" spans="1:13">
      <c r="A28" s="802"/>
      <c r="B28" s="68">
        <v>75075</v>
      </c>
      <c r="C28" s="74" t="s">
        <v>137</v>
      </c>
      <c r="D28" s="496">
        <v>248571</v>
      </c>
      <c r="E28" s="70">
        <v>248569.74</v>
      </c>
      <c r="F28" s="70">
        <f>E28-K28</f>
        <v>244177.74</v>
      </c>
      <c r="G28" s="70">
        <v>29933</v>
      </c>
      <c r="H28" s="70"/>
      <c r="I28" s="70"/>
      <c r="J28" s="70"/>
      <c r="K28" s="70">
        <v>4392</v>
      </c>
      <c r="L28" s="235">
        <f t="shared" si="0"/>
        <v>99.999493102574306</v>
      </c>
      <c r="M28" s="98"/>
    </row>
    <row r="29" spans="1:13">
      <c r="A29" s="802"/>
      <c r="B29" s="68">
        <v>75095</v>
      </c>
      <c r="C29" s="72" t="s">
        <v>88</v>
      </c>
      <c r="D29" s="496">
        <v>178192</v>
      </c>
      <c r="E29" s="70">
        <v>178191.1</v>
      </c>
      <c r="F29" s="70">
        <f>E29</f>
        <v>178191.1</v>
      </c>
      <c r="G29" s="70"/>
      <c r="H29" s="129"/>
      <c r="I29" s="70"/>
      <c r="J29" s="70"/>
      <c r="K29" s="70"/>
      <c r="L29" s="235">
        <f t="shared" si="0"/>
        <v>99.999494926820503</v>
      </c>
      <c r="M29" s="98"/>
    </row>
    <row r="30" spans="1:13" s="3" customFormat="1" ht="24">
      <c r="A30" s="111">
        <v>754</v>
      </c>
      <c r="B30" s="111"/>
      <c r="C30" s="112" t="s">
        <v>63</v>
      </c>
      <c r="D30" s="278">
        <f>SUM(D31:D34)</f>
        <v>157035.91999999998</v>
      </c>
      <c r="E30" s="278">
        <f t="shared" ref="E30:K30" si="6">SUM(E31:E34)</f>
        <v>103169.78</v>
      </c>
      <c r="F30" s="278">
        <f t="shared" si="6"/>
        <v>64669.78</v>
      </c>
      <c r="G30" s="278">
        <f t="shared" si="6"/>
        <v>0</v>
      </c>
      <c r="H30" s="278">
        <f t="shared" si="6"/>
        <v>0</v>
      </c>
      <c r="I30" s="278">
        <f t="shared" si="6"/>
        <v>35000</v>
      </c>
      <c r="J30" s="278">
        <f t="shared" si="6"/>
        <v>0</v>
      </c>
      <c r="K30" s="278">
        <f t="shared" si="6"/>
        <v>38500</v>
      </c>
      <c r="L30" s="234">
        <f t="shared" si="0"/>
        <v>65.698204589115676</v>
      </c>
      <c r="M30" s="277"/>
    </row>
    <row r="31" spans="1:13" s="3" customFormat="1">
      <c r="A31" s="835"/>
      <c r="B31" s="67">
        <v>75405</v>
      </c>
      <c r="C31" s="72" t="s">
        <v>411</v>
      </c>
      <c r="D31" s="496">
        <v>61890</v>
      </c>
      <c r="E31" s="238">
        <v>61889.39</v>
      </c>
      <c r="F31" s="70">
        <f>E31-K31</f>
        <v>58389.39</v>
      </c>
      <c r="G31" s="70"/>
      <c r="H31" s="70"/>
      <c r="I31" s="70">
        <v>35000</v>
      </c>
      <c r="J31" s="70"/>
      <c r="K31" s="70">
        <v>3500</v>
      </c>
      <c r="L31" s="235">
        <f t="shared" si="0"/>
        <v>99.999014380352236</v>
      </c>
      <c r="M31" s="277"/>
    </row>
    <row r="32" spans="1:13" s="3" customFormat="1">
      <c r="A32" s="836"/>
      <c r="B32" s="598">
        <v>75406</v>
      </c>
      <c r="C32" s="72" t="s">
        <v>609</v>
      </c>
      <c r="D32" s="496">
        <v>4000</v>
      </c>
      <c r="E32" s="238">
        <v>3999.91</v>
      </c>
      <c r="F32" s="70">
        <v>3999.91</v>
      </c>
      <c r="G32" s="70"/>
      <c r="H32" s="70"/>
      <c r="I32" s="70"/>
      <c r="J32" s="70"/>
      <c r="K32" s="70"/>
      <c r="L32" s="235">
        <f t="shared" si="0"/>
        <v>99.997749999999996</v>
      </c>
      <c r="M32" s="277"/>
    </row>
    <row r="33" spans="1:13" s="3" customFormat="1">
      <c r="A33" s="836"/>
      <c r="B33" s="598">
        <v>75412</v>
      </c>
      <c r="C33" s="72" t="s">
        <v>351</v>
      </c>
      <c r="D33" s="496">
        <v>35000</v>
      </c>
      <c r="E33" s="238">
        <v>35000</v>
      </c>
      <c r="F33" s="70"/>
      <c r="G33" s="70"/>
      <c r="H33" s="70"/>
      <c r="I33" s="70"/>
      <c r="J33" s="70"/>
      <c r="K33" s="70">
        <v>35000</v>
      </c>
      <c r="L33" s="235"/>
      <c r="M33" s="277"/>
    </row>
    <row r="34" spans="1:13">
      <c r="A34" s="837"/>
      <c r="B34" s="68">
        <v>75421</v>
      </c>
      <c r="C34" s="72" t="s">
        <v>403</v>
      </c>
      <c r="D34" s="496">
        <f>65000-8854.08</f>
        <v>56145.919999999998</v>
      </c>
      <c r="E34" s="70">
        <f>11134.56-8854.08</f>
        <v>2280.4799999999996</v>
      </c>
      <c r="F34" s="70">
        <f>E34</f>
        <v>2280.4799999999996</v>
      </c>
      <c r="G34" s="70"/>
      <c r="H34" s="129"/>
      <c r="I34" s="70"/>
      <c r="J34" s="70"/>
      <c r="K34" s="70"/>
      <c r="L34" s="235">
        <f t="shared" si="0"/>
        <v>4.061702079153747</v>
      </c>
      <c r="M34" s="98"/>
    </row>
    <row r="35" spans="1:13">
      <c r="A35" s="111">
        <v>757</v>
      </c>
      <c r="B35" s="111"/>
      <c r="C35" s="112" t="s">
        <v>139</v>
      </c>
      <c r="D35" s="278">
        <f>D36</f>
        <v>379970</v>
      </c>
      <c r="E35" s="80">
        <f>E36</f>
        <v>371604.72</v>
      </c>
      <c r="F35" s="80">
        <f>F36</f>
        <v>371604.72</v>
      </c>
      <c r="G35" s="279">
        <f t="shared" ref="G35:K35" si="7">G36</f>
        <v>0</v>
      </c>
      <c r="H35" s="279">
        <f t="shared" si="7"/>
        <v>0</v>
      </c>
      <c r="I35" s="279">
        <f t="shared" si="7"/>
        <v>0</v>
      </c>
      <c r="J35" s="80">
        <f t="shared" si="7"/>
        <v>371604.72</v>
      </c>
      <c r="K35" s="279">
        <f t="shared" si="7"/>
        <v>0</v>
      </c>
      <c r="L35" s="234">
        <f t="shared" si="0"/>
        <v>97.798436718688308</v>
      </c>
      <c r="M35" s="98"/>
    </row>
    <row r="36" spans="1:13" ht="24" customHeight="1">
      <c r="A36" s="68"/>
      <c r="B36" s="68">
        <v>75702</v>
      </c>
      <c r="C36" s="72" t="s">
        <v>140</v>
      </c>
      <c r="D36" s="496">
        <v>379970</v>
      </c>
      <c r="E36" s="70">
        <v>371604.72</v>
      </c>
      <c r="F36" s="70">
        <f>E36</f>
        <v>371604.72</v>
      </c>
      <c r="G36" s="70"/>
      <c r="H36" s="70"/>
      <c r="I36" s="70"/>
      <c r="J36" s="70">
        <f>E36</f>
        <v>371604.72</v>
      </c>
      <c r="K36" s="70"/>
      <c r="L36" s="235">
        <f t="shared" si="0"/>
        <v>97.798436718688308</v>
      </c>
      <c r="M36" s="98"/>
    </row>
    <row r="37" spans="1:13">
      <c r="A37" s="111">
        <v>801</v>
      </c>
      <c r="B37" s="111"/>
      <c r="C37" s="112" t="s">
        <v>76</v>
      </c>
      <c r="D37" s="278">
        <f>SUM(D38:D47)</f>
        <v>12530674.68</v>
      </c>
      <c r="E37" s="80">
        <f>SUM(E38:E47)</f>
        <v>12432383.17</v>
      </c>
      <c r="F37" s="80">
        <f>SUM(F38:F47)</f>
        <v>12253457.91</v>
      </c>
      <c r="G37" s="80">
        <f>SUM(G38:G47)</f>
        <v>7321389.4800000004</v>
      </c>
      <c r="H37" s="80">
        <f>SUM(H38:H47)</f>
        <v>1272061.7600000002</v>
      </c>
      <c r="I37" s="80">
        <f t="shared" ref="I37:K37" si="8">SUM(I38:I47)</f>
        <v>1360503.5999999999</v>
      </c>
      <c r="J37" s="279">
        <f t="shared" si="8"/>
        <v>0</v>
      </c>
      <c r="K37" s="80">
        <f t="shared" si="8"/>
        <v>178925.25999999998</v>
      </c>
      <c r="L37" s="234">
        <f t="shared" si="0"/>
        <v>99.215592835101845</v>
      </c>
      <c r="M37" s="98"/>
    </row>
    <row r="38" spans="1:13">
      <c r="A38" s="802"/>
      <c r="B38" s="67">
        <v>80102</v>
      </c>
      <c r="C38" s="72" t="s">
        <v>77</v>
      </c>
      <c r="D38" s="496">
        <v>1036053</v>
      </c>
      <c r="E38" s="238">
        <v>1036051.53</v>
      </c>
      <c r="F38" s="70">
        <f>E38</f>
        <v>1036051.53</v>
      </c>
      <c r="G38" s="70">
        <f>696100+55101+440.9</f>
        <v>751641.9</v>
      </c>
      <c r="H38" s="70">
        <f>111163+17390</f>
        <v>128553</v>
      </c>
      <c r="I38" s="70"/>
      <c r="J38" s="70"/>
      <c r="K38" s="70"/>
      <c r="L38" s="235">
        <f t="shared" si="0"/>
        <v>99.999858115366692</v>
      </c>
      <c r="M38" s="98"/>
    </row>
    <row r="39" spans="1:13">
      <c r="A39" s="802"/>
      <c r="B39" s="67">
        <v>80111</v>
      </c>
      <c r="C39" s="72" t="s">
        <v>78</v>
      </c>
      <c r="D39" s="496">
        <v>920397</v>
      </c>
      <c r="E39" s="238">
        <v>920396.54</v>
      </c>
      <c r="F39" s="70">
        <f>E39-K39</f>
        <v>916004.54</v>
      </c>
      <c r="G39" s="70">
        <f>238060+17517.54+425712+26466</f>
        <v>707755.54</v>
      </c>
      <c r="H39" s="70">
        <f>51294+6735+61913+10407</f>
        <v>130349</v>
      </c>
      <c r="I39" s="70"/>
      <c r="J39" s="70"/>
      <c r="K39" s="70">
        <v>4392</v>
      </c>
      <c r="L39" s="235">
        <f t="shared" si="0"/>
        <v>99.999950021566789</v>
      </c>
      <c r="M39" s="98"/>
    </row>
    <row r="40" spans="1:13">
      <c r="A40" s="802"/>
      <c r="B40" s="67">
        <v>80120</v>
      </c>
      <c r="C40" s="72" t="s">
        <v>79</v>
      </c>
      <c r="D40" s="496">
        <v>4301740</v>
      </c>
      <c r="E40" s="238">
        <v>4295253.28</v>
      </c>
      <c r="F40" s="70">
        <f>E40-K40</f>
        <v>4281767.28</v>
      </c>
      <c r="G40" s="70">
        <f>1480277.04+108960.64+16627+560937+40553+6165+237127.42+15718.6+691.87+90500+7752.43</f>
        <v>2565310</v>
      </c>
      <c r="H40" s="70">
        <f>235804.4+40225.08+96612+14803.47+38893.4+6343.17+15071+2389</f>
        <v>450141.51999999996</v>
      </c>
      <c r="I40" s="70">
        <v>458073.59999999998</v>
      </c>
      <c r="J40" s="70"/>
      <c r="K40" s="70">
        <v>13486</v>
      </c>
      <c r="L40" s="235">
        <f t="shared" si="0"/>
        <v>99.849207065048105</v>
      </c>
      <c r="M40" s="98"/>
    </row>
    <row r="41" spans="1:13">
      <c r="A41" s="802"/>
      <c r="B41" s="67">
        <v>80123</v>
      </c>
      <c r="C41" s="72" t="s">
        <v>85</v>
      </c>
      <c r="D41" s="496">
        <v>534739</v>
      </c>
      <c r="E41" s="238">
        <v>530633.6</v>
      </c>
      <c r="F41" s="70">
        <f>E41</f>
        <v>530633.6</v>
      </c>
      <c r="G41" s="70">
        <f>65316.24+7259.1</f>
        <v>72575.34</v>
      </c>
      <c r="H41" s="70">
        <f>11666.94+1864.72</f>
        <v>13531.66</v>
      </c>
      <c r="I41" s="70">
        <v>416946.9</v>
      </c>
      <c r="J41" s="70"/>
      <c r="K41" s="70"/>
      <c r="L41" s="235">
        <f t="shared" si="0"/>
        <v>99.232260972175197</v>
      </c>
      <c r="M41" s="98"/>
    </row>
    <row r="42" spans="1:13">
      <c r="A42" s="802"/>
      <c r="B42" s="67">
        <v>80130</v>
      </c>
      <c r="C42" s="72" t="s">
        <v>86</v>
      </c>
      <c r="D42" s="496">
        <v>5024543</v>
      </c>
      <c r="E42" s="238">
        <v>5006285.1399999997</v>
      </c>
      <c r="F42" s="70">
        <f>E42-K42</f>
        <v>4845237.88</v>
      </c>
      <c r="G42" s="70">
        <f>471440+37872.43+2232144+156723.56+10989.45+164621.97+10479.06+510.13</f>
        <v>3084780.6000000006</v>
      </c>
      <c r="H42" s="70">
        <f>81968+13351+347285+54429+26908.44+4388.5</f>
        <v>528329.93999999994</v>
      </c>
      <c r="I42" s="70">
        <v>342087.9</v>
      </c>
      <c r="J42" s="70"/>
      <c r="K42" s="70">
        <f>17025.1+127822.17+16199.99</f>
        <v>161047.25999999998</v>
      </c>
      <c r="L42" s="235">
        <f t="shared" si="0"/>
        <v>99.636626455381105</v>
      </c>
      <c r="M42" s="98"/>
    </row>
    <row r="43" spans="1:13" ht="37.5" customHeight="1">
      <c r="A43" s="802"/>
      <c r="B43" s="67">
        <v>80140</v>
      </c>
      <c r="C43" s="72" t="s">
        <v>406</v>
      </c>
      <c r="D43" s="496">
        <v>234093</v>
      </c>
      <c r="E43" s="238">
        <v>234092.06</v>
      </c>
      <c r="F43" s="70">
        <f>E43</f>
        <v>234092.06</v>
      </c>
      <c r="G43" s="70">
        <f>31500+2107.47+33000</f>
        <v>66607.47</v>
      </c>
      <c r="H43" s="70">
        <f>8101+1301</f>
        <v>9402</v>
      </c>
      <c r="I43" s="70"/>
      <c r="J43" s="70"/>
      <c r="K43" s="70"/>
      <c r="L43" s="235">
        <f t="shared" si="0"/>
        <v>99.9995984501886</v>
      </c>
      <c r="M43" s="98"/>
    </row>
    <row r="44" spans="1:13" ht="23.25" customHeight="1">
      <c r="A44" s="802"/>
      <c r="B44" s="598">
        <v>80144</v>
      </c>
      <c r="C44" s="72" t="s">
        <v>610</v>
      </c>
      <c r="D44" s="496">
        <v>143396</v>
      </c>
      <c r="E44" s="238">
        <v>143395.20000000001</v>
      </c>
      <c r="F44" s="70">
        <f>E44</f>
        <v>143395.20000000001</v>
      </c>
      <c r="G44" s="70"/>
      <c r="H44" s="70"/>
      <c r="I44" s="70">
        <f>E44</f>
        <v>143395.20000000001</v>
      </c>
      <c r="J44" s="70"/>
      <c r="K44" s="70"/>
      <c r="L44" s="235">
        <f t="shared" si="0"/>
        <v>99.999442104382268</v>
      </c>
      <c r="M44" s="98"/>
    </row>
    <row r="45" spans="1:13" ht="13.35" customHeight="1">
      <c r="A45" s="802"/>
      <c r="B45" s="67">
        <v>80146</v>
      </c>
      <c r="C45" s="150" t="s">
        <v>141</v>
      </c>
      <c r="D45" s="496">
        <v>55799</v>
      </c>
      <c r="E45" s="238">
        <v>42577.23</v>
      </c>
      <c r="F45" s="70">
        <f>E45</f>
        <v>42577.23</v>
      </c>
      <c r="G45" s="70"/>
      <c r="H45" s="70"/>
      <c r="I45" s="70"/>
      <c r="J45" s="70"/>
      <c r="K45" s="70"/>
      <c r="L45" s="235">
        <f t="shared" si="0"/>
        <v>76.304647036685253</v>
      </c>
      <c r="M45" s="98"/>
    </row>
    <row r="46" spans="1:13" ht="13.35" customHeight="1">
      <c r="A46" s="802"/>
      <c r="B46" s="67">
        <v>80148</v>
      </c>
      <c r="C46" s="150" t="s">
        <v>412</v>
      </c>
      <c r="D46" s="496">
        <v>213133</v>
      </c>
      <c r="E46" s="238">
        <v>213132.77</v>
      </c>
      <c r="F46" s="70">
        <f>E46</f>
        <v>213132.77</v>
      </c>
      <c r="G46" s="70">
        <f>59259.89+4146</f>
        <v>63405.89</v>
      </c>
      <c r="H46" s="70">
        <f>8995.56+1506</f>
        <v>10501.56</v>
      </c>
      <c r="I46" s="70"/>
      <c r="J46" s="70"/>
      <c r="K46" s="70"/>
      <c r="L46" s="235">
        <f t="shared" si="0"/>
        <v>99.999892086162163</v>
      </c>
      <c r="M46" s="98"/>
    </row>
    <row r="47" spans="1:13">
      <c r="A47" s="802"/>
      <c r="B47" s="67">
        <v>80195</v>
      </c>
      <c r="C47" s="72" t="s">
        <v>88</v>
      </c>
      <c r="D47" s="496">
        <v>66781.679999999993</v>
      </c>
      <c r="E47" s="238">
        <v>10565.82</v>
      </c>
      <c r="F47" s="70">
        <f>E47</f>
        <v>10565.82</v>
      </c>
      <c r="G47" s="70">
        <f>1992.34+166.15+2004.4+1044.88+238.68+2208.29+1658</f>
        <v>9312.74</v>
      </c>
      <c r="H47" s="70">
        <f>302.63+18.52+310+49+157.78+25.6+335.45+54.1</f>
        <v>1253.08</v>
      </c>
      <c r="I47" s="70"/>
      <c r="J47" s="70"/>
      <c r="K47" s="70"/>
      <c r="L47" s="235">
        <f t="shared" si="0"/>
        <v>15.821434860578531</v>
      </c>
      <c r="M47" s="98"/>
    </row>
    <row r="48" spans="1:13">
      <c r="A48" s="111">
        <v>851</v>
      </c>
      <c r="B48" s="111"/>
      <c r="C48" s="117" t="s">
        <v>91</v>
      </c>
      <c r="D48" s="278">
        <f>SUM(D49:D50)</f>
        <v>1625773</v>
      </c>
      <c r="E48" s="278">
        <f t="shared" ref="E48:K48" si="9">SUM(E49:E50)</f>
        <v>1615595.43</v>
      </c>
      <c r="F48" s="278">
        <f t="shared" si="9"/>
        <v>35827.719999999783</v>
      </c>
      <c r="G48" s="278">
        <f t="shared" si="9"/>
        <v>8978.9500000000007</v>
      </c>
      <c r="H48" s="278">
        <f t="shared" si="9"/>
        <v>0</v>
      </c>
      <c r="I48" s="278">
        <f t="shared" si="9"/>
        <v>26848.77</v>
      </c>
      <c r="J48" s="278">
        <f t="shared" si="9"/>
        <v>0</v>
      </c>
      <c r="K48" s="278">
        <f t="shared" si="9"/>
        <v>1579767.7100000002</v>
      </c>
      <c r="L48" s="234">
        <f t="shared" si="0"/>
        <v>99.373985790144133</v>
      </c>
      <c r="M48" s="98"/>
    </row>
    <row r="49" spans="1:13">
      <c r="A49" s="829"/>
      <c r="B49" s="68">
        <v>85111</v>
      </c>
      <c r="C49" s="74" t="s">
        <v>92</v>
      </c>
      <c r="D49" s="496">
        <v>1616000</v>
      </c>
      <c r="E49" s="70">
        <v>1606616.48</v>
      </c>
      <c r="F49" s="70">
        <f>E49-K49</f>
        <v>26848.769999999786</v>
      </c>
      <c r="G49" s="70"/>
      <c r="H49" s="70"/>
      <c r="I49" s="70">
        <f>13807.67+13041.1</f>
        <v>26848.77</v>
      </c>
      <c r="J49" s="70"/>
      <c r="K49" s="70">
        <f>1374768.12+204999.59</f>
        <v>1579767.7100000002</v>
      </c>
      <c r="L49" s="235">
        <f t="shared" si="0"/>
        <v>99.419336633663363</v>
      </c>
      <c r="M49" s="98"/>
    </row>
    <row r="50" spans="1:13">
      <c r="A50" s="831"/>
      <c r="B50" s="597">
        <v>85195</v>
      </c>
      <c r="C50" s="599" t="s">
        <v>88</v>
      </c>
      <c r="D50" s="496">
        <v>9773</v>
      </c>
      <c r="E50" s="70">
        <v>8978.9500000000007</v>
      </c>
      <c r="F50" s="70">
        <f>E50</f>
        <v>8978.9500000000007</v>
      </c>
      <c r="G50" s="70">
        <f>F50</f>
        <v>8978.9500000000007</v>
      </c>
      <c r="H50" s="70"/>
      <c r="I50" s="70"/>
      <c r="J50" s="70"/>
      <c r="K50" s="70"/>
      <c r="L50" s="235">
        <f t="shared" si="0"/>
        <v>91.87506395170368</v>
      </c>
      <c r="M50" s="98"/>
    </row>
    <row r="51" spans="1:13">
      <c r="A51" s="111">
        <v>852</v>
      </c>
      <c r="B51" s="111"/>
      <c r="C51" s="112" t="s">
        <v>94</v>
      </c>
      <c r="D51" s="278">
        <f>SUM(D52:D57)</f>
        <v>8970039</v>
      </c>
      <c r="E51" s="80">
        <f t="shared" ref="E51:K51" si="10">SUM(E52:E57)</f>
        <v>8736670.2400000002</v>
      </c>
      <c r="F51" s="80">
        <f t="shared" si="10"/>
        <v>8375886.8600000003</v>
      </c>
      <c r="G51" s="80">
        <f t="shared" si="10"/>
        <v>1549358.6199999999</v>
      </c>
      <c r="H51" s="80">
        <f t="shared" si="10"/>
        <v>264705.43</v>
      </c>
      <c r="I51" s="80">
        <f t="shared" si="10"/>
        <v>4050802.11</v>
      </c>
      <c r="J51" s="279">
        <f t="shared" si="10"/>
        <v>0</v>
      </c>
      <c r="K51" s="80">
        <f t="shared" si="10"/>
        <v>360783.38</v>
      </c>
      <c r="L51" s="234">
        <f t="shared" si="0"/>
        <v>97.398352894563772</v>
      </c>
      <c r="M51" s="98"/>
    </row>
    <row r="52" spans="1:13">
      <c r="A52" s="802"/>
      <c r="B52" s="68">
        <v>85201</v>
      </c>
      <c r="C52" s="72" t="s">
        <v>95</v>
      </c>
      <c r="D52" s="496">
        <v>4047739</v>
      </c>
      <c r="E52" s="70">
        <v>4017802</v>
      </c>
      <c r="F52" s="70">
        <f>E52</f>
        <v>4017802</v>
      </c>
      <c r="G52" s="70">
        <f>886378.1+61214.2+28722.48+39562+2757.84</f>
        <v>1018634.6199999999</v>
      </c>
      <c r="H52" s="70">
        <f>143819.87+22289.23+6756.37+1036.86</f>
        <v>173902.33</v>
      </c>
      <c r="I52" s="70">
        <f>65433.51+1812693.41+97</f>
        <v>1878223.92</v>
      </c>
      <c r="J52" s="279"/>
      <c r="K52" s="70"/>
      <c r="L52" s="235">
        <f t="shared" si="0"/>
        <v>99.260401918206682</v>
      </c>
      <c r="M52" s="98"/>
    </row>
    <row r="53" spans="1:13">
      <c r="A53" s="802"/>
      <c r="B53" s="68">
        <v>85202</v>
      </c>
      <c r="C53" s="72" t="s">
        <v>97</v>
      </c>
      <c r="D53" s="496">
        <v>2414291</v>
      </c>
      <c r="E53" s="70">
        <v>2414290.38</v>
      </c>
      <c r="F53" s="70">
        <f>E53-K53</f>
        <v>2053507</v>
      </c>
      <c r="G53" s="70"/>
      <c r="H53" s="70"/>
      <c r="I53" s="70">
        <v>2053507</v>
      </c>
      <c r="J53" s="279"/>
      <c r="K53" s="129">
        <v>360783.38</v>
      </c>
      <c r="L53" s="235">
        <f t="shared" si="0"/>
        <v>99.999974319582847</v>
      </c>
      <c r="M53" s="98"/>
    </row>
    <row r="54" spans="1:13">
      <c r="A54" s="802"/>
      <c r="B54" s="68">
        <v>85204</v>
      </c>
      <c r="C54" s="72" t="s">
        <v>100</v>
      </c>
      <c r="D54" s="496">
        <v>1782886</v>
      </c>
      <c r="E54" s="70">
        <v>1593007.68</v>
      </c>
      <c r="F54" s="70">
        <f>E54</f>
        <v>1593007.68</v>
      </c>
      <c r="G54" s="70">
        <f>115824.2</f>
        <v>115824.2</v>
      </c>
      <c r="H54" s="70">
        <f>17751.98+2759.26</f>
        <v>20511.239999999998</v>
      </c>
      <c r="I54" s="70">
        <f>119071.19</f>
        <v>119071.19</v>
      </c>
      <c r="J54" s="279"/>
      <c r="K54" s="70"/>
      <c r="L54" s="235">
        <f t="shared" si="0"/>
        <v>89.349946098628848</v>
      </c>
      <c r="M54" s="98"/>
    </row>
    <row r="55" spans="1:13">
      <c r="A55" s="802"/>
      <c r="B55" s="68">
        <v>85218</v>
      </c>
      <c r="C55" s="72" t="s">
        <v>101</v>
      </c>
      <c r="D55" s="496">
        <v>553554</v>
      </c>
      <c r="E55" s="70">
        <v>540489.13</v>
      </c>
      <c r="F55" s="70">
        <f>E55</f>
        <v>540489.13</v>
      </c>
      <c r="G55" s="70">
        <f>264960.72+19019.25+4830</f>
        <v>288809.96999999997</v>
      </c>
      <c r="H55" s="70">
        <f>40149.82+6969.4</f>
        <v>47119.22</v>
      </c>
      <c r="I55" s="70"/>
      <c r="J55" s="279"/>
      <c r="K55" s="70"/>
      <c r="L55" s="235">
        <f t="shared" si="0"/>
        <v>97.639820144014848</v>
      </c>
      <c r="M55" s="98"/>
    </row>
    <row r="56" spans="1:13">
      <c r="A56" s="802"/>
      <c r="B56" s="67">
        <v>85226</v>
      </c>
      <c r="C56" s="240" t="s">
        <v>611</v>
      </c>
      <c r="D56" s="496">
        <v>168986</v>
      </c>
      <c r="E56" s="238">
        <v>168981.23</v>
      </c>
      <c r="F56" s="70">
        <f>E56</f>
        <v>168981.23</v>
      </c>
      <c r="G56" s="70">
        <f>116893+9196.83</f>
        <v>126089.83</v>
      </c>
      <c r="H56" s="70">
        <f>20009.34+3163.3</f>
        <v>23172.639999999999</v>
      </c>
      <c r="I56" s="70"/>
      <c r="J56" s="279"/>
      <c r="K56" s="70"/>
      <c r="L56" s="235">
        <f t="shared" si="0"/>
        <v>99.997177280958198</v>
      </c>
      <c r="M56" s="98"/>
    </row>
    <row r="57" spans="1:13">
      <c r="A57" s="802"/>
      <c r="B57" s="67">
        <v>85233</v>
      </c>
      <c r="C57" s="69" t="s">
        <v>141</v>
      </c>
      <c r="D57" s="496">
        <v>2583</v>
      </c>
      <c r="E57" s="238">
        <v>2099.8200000000002</v>
      </c>
      <c r="F57" s="70">
        <f>E57</f>
        <v>2099.8200000000002</v>
      </c>
      <c r="G57" s="70"/>
      <c r="H57" s="70"/>
      <c r="I57" s="70"/>
      <c r="J57" s="279"/>
      <c r="K57" s="70"/>
      <c r="L57" s="235">
        <f t="shared" si="0"/>
        <v>81.293844367015097</v>
      </c>
      <c r="M57" s="98"/>
    </row>
    <row r="58" spans="1:13" ht="24.75" customHeight="1">
      <c r="A58" s="111">
        <v>853</v>
      </c>
      <c r="B58" s="111"/>
      <c r="C58" s="112" t="s">
        <v>142</v>
      </c>
      <c r="D58" s="278">
        <f>SUM(D59:D61)</f>
        <v>2464183</v>
      </c>
      <c r="E58" s="278">
        <f t="shared" ref="E58:K58" si="11">SUM(E59:E61)</f>
        <v>2448931.42</v>
      </c>
      <c r="F58" s="278">
        <f t="shared" si="11"/>
        <v>2438542.88</v>
      </c>
      <c r="G58" s="278">
        <f t="shared" si="11"/>
        <v>1726769.65</v>
      </c>
      <c r="H58" s="278">
        <f t="shared" si="11"/>
        <v>282084.58999999997</v>
      </c>
      <c r="I58" s="278">
        <f t="shared" si="11"/>
        <v>83519.19</v>
      </c>
      <c r="J58" s="278">
        <f t="shared" si="11"/>
        <v>0</v>
      </c>
      <c r="K58" s="278">
        <f t="shared" si="11"/>
        <v>10388.540000000001</v>
      </c>
      <c r="L58" s="234">
        <f t="shared" si="0"/>
        <v>99.381069506607261</v>
      </c>
      <c r="M58" s="98"/>
    </row>
    <row r="59" spans="1:13" s="667" customFormat="1" ht="24.75" customHeight="1">
      <c r="A59" s="838"/>
      <c r="B59" s="669">
        <v>85311</v>
      </c>
      <c r="C59" s="72" t="s">
        <v>339</v>
      </c>
      <c r="D59" s="238">
        <v>82200</v>
      </c>
      <c r="E59" s="238">
        <v>82200</v>
      </c>
      <c r="F59" s="238">
        <f>E59</f>
        <v>82200</v>
      </c>
      <c r="G59" s="238"/>
      <c r="H59" s="238"/>
      <c r="I59" s="238">
        <v>82200</v>
      </c>
      <c r="J59" s="238"/>
      <c r="K59" s="238"/>
      <c r="L59" s="668"/>
    </row>
    <row r="60" spans="1:13">
      <c r="A60" s="839"/>
      <c r="B60" s="68">
        <v>85333</v>
      </c>
      <c r="C60" s="72" t="s">
        <v>103</v>
      </c>
      <c r="D60" s="496">
        <v>1798412</v>
      </c>
      <c r="E60" s="238">
        <v>1798406.67</v>
      </c>
      <c r="F60" s="70">
        <f>E60-K60</f>
        <v>1788018.13</v>
      </c>
      <c r="G60" s="70">
        <f>1293385.99+84598.07+31230</f>
        <v>1409214.06</v>
      </c>
      <c r="H60" s="70">
        <f>210682.63+32340.37</f>
        <v>243023</v>
      </c>
      <c r="I60" s="70"/>
      <c r="J60" s="279"/>
      <c r="K60" s="159">
        <f>6606.54+3782</f>
        <v>10388.540000000001</v>
      </c>
      <c r="L60" s="235">
        <f t="shared" si="0"/>
        <v>99.999703627422406</v>
      </c>
      <c r="M60" s="98"/>
    </row>
    <row r="61" spans="1:13">
      <c r="A61" s="840"/>
      <c r="B61" s="68">
        <v>85395</v>
      </c>
      <c r="C61" s="72" t="s">
        <v>88</v>
      </c>
      <c r="D61" s="496">
        <f>1140672.8-526152.23-30949.57</f>
        <v>583571.00000000012</v>
      </c>
      <c r="E61" s="70">
        <f>F61</f>
        <v>568324.75</v>
      </c>
      <c r="F61" s="70">
        <f>1125423.43-526149.58-30949.1</f>
        <v>568324.75</v>
      </c>
      <c r="G61" s="70">
        <f>31677.26+1864.95+138782.71+8170.62+67766.54+3968.85+38835.16+2818.5+23671</f>
        <v>317555.58999999997</v>
      </c>
      <c r="H61" s="70">
        <f>14551.82+856.7+2260.29+133.04+10330.98+1676.3+8045.29+1207.17</f>
        <v>39061.589999999997</v>
      </c>
      <c r="I61" s="70">
        <f>706.14+613.05</f>
        <v>1319.19</v>
      </c>
      <c r="J61" s="279"/>
      <c r="K61" s="129"/>
      <c r="L61" s="235">
        <f t="shared" si="0"/>
        <v>97.387421581949738</v>
      </c>
      <c r="M61" s="98"/>
    </row>
    <row r="62" spans="1:13">
      <c r="A62" s="111">
        <v>854</v>
      </c>
      <c r="B62" s="111" t="s">
        <v>16</v>
      </c>
      <c r="C62" s="112" t="s">
        <v>105</v>
      </c>
      <c r="D62" s="278">
        <f>SUM(D63:D69)</f>
        <v>4430068</v>
      </c>
      <c r="E62" s="80">
        <f>SUM(E63:E69)</f>
        <v>4388355.99</v>
      </c>
      <c r="F62" s="80">
        <f>SUM(F63:F69)</f>
        <v>4292610.2600000007</v>
      </c>
      <c r="G62" s="80">
        <f>SUM(G63:G69)</f>
        <v>1797148.6199999999</v>
      </c>
      <c r="H62" s="80">
        <f>SUM(H63:H69)</f>
        <v>291249.26</v>
      </c>
      <c r="I62" s="80">
        <f t="shared" ref="I62:K62" si="12">SUM(I63:I69)</f>
        <v>1051916.8</v>
      </c>
      <c r="J62" s="279">
        <f t="shared" si="12"/>
        <v>0</v>
      </c>
      <c r="K62" s="80">
        <f t="shared" si="12"/>
        <v>95745.73</v>
      </c>
      <c r="L62" s="234">
        <f t="shared" si="0"/>
        <v>99.05843409175661</v>
      </c>
      <c r="M62" s="98"/>
    </row>
    <row r="63" spans="1:13" ht="25.5" customHeight="1">
      <c r="A63" s="828"/>
      <c r="B63" s="67">
        <v>85406</v>
      </c>
      <c r="C63" s="72" t="s">
        <v>106</v>
      </c>
      <c r="D63" s="496">
        <v>755087</v>
      </c>
      <c r="E63" s="238">
        <v>754818.87</v>
      </c>
      <c r="F63" s="70">
        <f>E63</f>
        <v>754818.87</v>
      </c>
      <c r="G63" s="70">
        <f>515407+34015.3+8001.5</f>
        <v>557423.80000000005</v>
      </c>
      <c r="H63" s="70">
        <f>79366+12464</f>
        <v>91830</v>
      </c>
      <c r="I63" s="70"/>
      <c r="J63" s="279"/>
      <c r="K63" s="159"/>
      <c r="L63" s="235">
        <f t="shared" si="0"/>
        <v>99.964490184574757</v>
      </c>
      <c r="M63" s="98"/>
    </row>
    <row r="64" spans="1:13">
      <c r="A64" s="828"/>
      <c r="B64" s="67">
        <v>85407</v>
      </c>
      <c r="C64" s="72" t="s">
        <v>107</v>
      </c>
      <c r="D64" s="497">
        <v>570746</v>
      </c>
      <c r="E64" s="239">
        <v>570745.73</v>
      </c>
      <c r="F64" s="70">
        <f>E64-K64</f>
        <v>475000</v>
      </c>
      <c r="G64" s="130">
        <f>218240.93+13380.76+70510.48</f>
        <v>302132.17</v>
      </c>
      <c r="H64" s="130">
        <f>35605+4857.62</f>
        <v>40462.620000000003</v>
      </c>
      <c r="I64" s="130"/>
      <c r="J64" s="280"/>
      <c r="K64" s="159">
        <f>95745.73</f>
        <v>95745.73</v>
      </c>
      <c r="L64" s="235">
        <f t="shared" si="0"/>
        <v>99.999952693492375</v>
      </c>
      <c r="M64" s="98"/>
    </row>
    <row r="65" spans="1:13">
      <c r="A65" s="828"/>
      <c r="B65" s="67">
        <v>85410</v>
      </c>
      <c r="C65" s="72" t="s">
        <v>108</v>
      </c>
      <c r="D65" s="496">
        <v>466857</v>
      </c>
      <c r="E65" s="238">
        <v>466855.77</v>
      </c>
      <c r="F65" s="70">
        <f>E65</f>
        <v>466855.77</v>
      </c>
      <c r="G65" s="70">
        <f>48873+5160.56+16627.06+149530+13173</f>
        <v>233363.62</v>
      </c>
      <c r="H65" s="70">
        <f>9440+1427+25961+4217</f>
        <v>41045</v>
      </c>
      <c r="I65" s="70"/>
      <c r="J65" s="279"/>
      <c r="K65" s="159"/>
      <c r="L65" s="235">
        <f t="shared" si="0"/>
        <v>99.9997365360271</v>
      </c>
      <c r="M65" s="98"/>
    </row>
    <row r="66" spans="1:13">
      <c r="A66" s="828"/>
      <c r="B66" s="67">
        <v>85415</v>
      </c>
      <c r="C66" s="72" t="s">
        <v>109</v>
      </c>
      <c r="D66" s="496">
        <v>319000</v>
      </c>
      <c r="E66" s="238">
        <v>316700</v>
      </c>
      <c r="F66" s="70">
        <f>E66</f>
        <v>316700</v>
      </c>
      <c r="G66" s="70"/>
      <c r="H66" s="70"/>
      <c r="I66" s="70"/>
      <c r="J66" s="279"/>
      <c r="K66" s="159"/>
      <c r="L66" s="235"/>
      <c r="M66" s="98"/>
    </row>
    <row r="67" spans="1:13">
      <c r="A67" s="828"/>
      <c r="B67" s="67">
        <v>85419</v>
      </c>
      <c r="C67" s="77" t="s">
        <v>340</v>
      </c>
      <c r="D67" s="496">
        <v>1090418</v>
      </c>
      <c r="E67" s="238">
        <v>1051916.8</v>
      </c>
      <c r="F67" s="70">
        <f>E67</f>
        <v>1051916.8</v>
      </c>
      <c r="G67" s="70"/>
      <c r="H67" s="70"/>
      <c r="I67" s="70">
        <f>F67</f>
        <v>1051916.8</v>
      </c>
      <c r="J67" s="279"/>
      <c r="K67" s="159"/>
      <c r="L67" s="235">
        <f t="shared" si="0"/>
        <v>96.469133855090433</v>
      </c>
      <c r="M67" s="98"/>
    </row>
    <row r="68" spans="1:13">
      <c r="A68" s="828"/>
      <c r="B68" s="67">
        <v>85420</v>
      </c>
      <c r="C68" s="72" t="s">
        <v>110</v>
      </c>
      <c r="D68" s="497">
        <v>1215288</v>
      </c>
      <c r="E68" s="239">
        <v>1215282.9099999999</v>
      </c>
      <c r="F68" s="70">
        <f>E68</f>
        <v>1215282.9099999999</v>
      </c>
      <c r="G68" s="130">
        <f>656191+48038.03</f>
        <v>704229.03</v>
      </c>
      <c r="H68" s="130">
        <f>100213.6+17698.04</f>
        <v>117911.64000000001</v>
      </c>
      <c r="I68" s="130"/>
      <c r="J68" s="280"/>
      <c r="K68" s="159"/>
      <c r="L68" s="235">
        <f t="shared" si="0"/>
        <v>99.999581169237246</v>
      </c>
      <c r="M68" s="98"/>
    </row>
    <row r="69" spans="1:13">
      <c r="A69" s="828"/>
      <c r="B69" s="67">
        <v>85446</v>
      </c>
      <c r="C69" s="74" t="s">
        <v>141</v>
      </c>
      <c r="D69" s="496">
        <v>12672</v>
      </c>
      <c r="E69" s="238">
        <v>12035.91</v>
      </c>
      <c r="F69" s="70">
        <f>E69</f>
        <v>12035.91</v>
      </c>
      <c r="G69" s="70"/>
      <c r="H69" s="70"/>
      <c r="I69" s="70"/>
      <c r="J69" s="279"/>
      <c r="K69" s="159"/>
      <c r="L69" s="235">
        <f t="shared" si="0"/>
        <v>94.980350378787875</v>
      </c>
      <c r="M69" s="98"/>
    </row>
    <row r="70" spans="1:13" ht="12.6" customHeight="1">
      <c r="A70" s="111">
        <v>921</v>
      </c>
      <c r="B70" s="111"/>
      <c r="C70" s="112" t="s">
        <v>143</v>
      </c>
      <c r="D70" s="278">
        <f>D71+D72+D73</f>
        <v>135770</v>
      </c>
      <c r="E70" s="278">
        <f t="shared" ref="E70:K70" si="13">E71+E72+E73</f>
        <v>104001.25</v>
      </c>
      <c r="F70" s="278">
        <f t="shared" si="13"/>
        <v>83231.25</v>
      </c>
      <c r="G70" s="278">
        <f t="shared" si="13"/>
        <v>0</v>
      </c>
      <c r="H70" s="279">
        <f t="shared" si="13"/>
        <v>0</v>
      </c>
      <c r="I70" s="278">
        <f t="shared" si="13"/>
        <v>74000</v>
      </c>
      <c r="J70" s="279">
        <f t="shared" si="13"/>
        <v>0</v>
      </c>
      <c r="K70" s="673">
        <f t="shared" si="13"/>
        <v>20770</v>
      </c>
      <c r="L70" s="234">
        <f t="shared" si="0"/>
        <v>76.601053251822933</v>
      </c>
      <c r="M70" s="98"/>
    </row>
    <row r="71" spans="1:13">
      <c r="A71" s="829"/>
      <c r="B71" s="67">
        <v>92105</v>
      </c>
      <c r="C71" s="72" t="s">
        <v>144</v>
      </c>
      <c r="D71" s="496">
        <f>31000-20000</f>
        <v>11000</v>
      </c>
      <c r="E71" s="238">
        <f>29231.25-20000</f>
        <v>9231.25</v>
      </c>
      <c r="F71" s="70">
        <f>E71</f>
        <v>9231.25</v>
      </c>
      <c r="G71" s="70"/>
      <c r="H71" s="70"/>
      <c r="I71" s="159">
        <v>0</v>
      </c>
      <c r="J71" s="279"/>
      <c r="K71" s="70"/>
      <c r="L71" s="235">
        <f t="shared" si="0"/>
        <v>83.920454545454547</v>
      </c>
      <c r="M71" s="98"/>
    </row>
    <row r="72" spans="1:13">
      <c r="A72" s="830"/>
      <c r="B72" s="67">
        <v>92116</v>
      </c>
      <c r="C72" s="72" t="s">
        <v>413</v>
      </c>
      <c r="D72" s="496">
        <v>74770</v>
      </c>
      <c r="E72" s="238">
        <v>74770</v>
      </c>
      <c r="F72" s="70">
        <f>E72-K72</f>
        <v>54000</v>
      </c>
      <c r="G72" s="70"/>
      <c r="H72" s="70"/>
      <c r="I72" s="159">
        <v>54000</v>
      </c>
      <c r="J72" s="279"/>
      <c r="K72" s="70">
        <v>20770</v>
      </c>
      <c r="L72" s="235">
        <f t="shared" si="0"/>
        <v>100</v>
      </c>
      <c r="M72" s="98"/>
    </row>
    <row r="73" spans="1:13">
      <c r="A73" s="831"/>
      <c r="B73" s="67">
        <v>92195</v>
      </c>
      <c r="C73" s="72" t="s">
        <v>88</v>
      </c>
      <c r="D73" s="496">
        <v>50000</v>
      </c>
      <c r="E73" s="238">
        <v>20000</v>
      </c>
      <c r="F73" s="70">
        <f>E73</f>
        <v>20000</v>
      </c>
      <c r="G73" s="70"/>
      <c r="H73" s="70"/>
      <c r="I73" s="159">
        <v>20000</v>
      </c>
      <c r="J73" s="279"/>
      <c r="K73" s="70"/>
      <c r="L73" s="235">
        <f t="shared" si="0"/>
        <v>40</v>
      </c>
      <c r="M73" s="98"/>
    </row>
    <row r="74" spans="1:13">
      <c r="A74" s="111">
        <v>926</v>
      </c>
      <c r="B74" s="111"/>
      <c r="C74" s="112" t="s">
        <v>145</v>
      </c>
      <c r="D74" s="278">
        <f>D75+D76+D77</f>
        <v>1608064</v>
      </c>
      <c r="E74" s="80">
        <f t="shared" ref="E74:K74" si="14">E75+E76+E77</f>
        <v>931721.89000000013</v>
      </c>
      <c r="F74" s="80">
        <f t="shared" si="14"/>
        <v>107229.6</v>
      </c>
      <c r="G74" s="279">
        <f t="shared" si="14"/>
        <v>0</v>
      </c>
      <c r="H74" s="279">
        <f t="shared" si="14"/>
        <v>0</v>
      </c>
      <c r="I74" s="80">
        <f t="shared" si="14"/>
        <v>75000</v>
      </c>
      <c r="J74" s="279">
        <f t="shared" si="14"/>
        <v>0</v>
      </c>
      <c r="K74" s="80">
        <f t="shared" si="14"/>
        <v>824492.29</v>
      </c>
      <c r="L74" s="234">
        <f t="shared" si="0"/>
        <v>57.940597513531813</v>
      </c>
      <c r="M74" s="98"/>
    </row>
    <row r="75" spans="1:13" s="4" customFormat="1">
      <c r="A75" s="829"/>
      <c r="B75" s="67">
        <v>92601</v>
      </c>
      <c r="C75" s="72" t="s">
        <v>341</v>
      </c>
      <c r="D75" s="496">
        <v>1497564</v>
      </c>
      <c r="E75" s="238">
        <v>824492.29</v>
      </c>
      <c r="F75" s="70"/>
      <c r="G75" s="70"/>
      <c r="H75" s="70"/>
      <c r="I75" s="70"/>
      <c r="J75" s="279"/>
      <c r="K75" s="70">
        <f>E75</f>
        <v>824492.29</v>
      </c>
      <c r="L75" s="235">
        <f t="shared" si="0"/>
        <v>55.055562900817598</v>
      </c>
      <c r="M75" s="98"/>
    </row>
    <row r="76" spans="1:13" ht="14.1" customHeight="1">
      <c r="A76" s="830"/>
      <c r="B76" s="67">
        <v>92605</v>
      </c>
      <c r="C76" s="72" t="s">
        <v>146</v>
      </c>
      <c r="D76" s="496">
        <f>64801-6500</f>
        <v>58301</v>
      </c>
      <c r="E76" s="238">
        <f>61530.66-6500</f>
        <v>55030.66</v>
      </c>
      <c r="F76" s="70">
        <f>E76</f>
        <v>55030.66</v>
      </c>
      <c r="G76" s="70"/>
      <c r="H76" s="70"/>
      <c r="I76" s="70">
        <f>45000</f>
        <v>45000</v>
      </c>
      <c r="J76" s="279"/>
      <c r="K76" s="70"/>
      <c r="L76" s="235">
        <f t="shared" si="0"/>
        <v>94.390593643333744</v>
      </c>
      <c r="M76" s="98"/>
    </row>
    <row r="77" spans="1:13" ht="14.1" customHeight="1">
      <c r="A77" s="831"/>
      <c r="B77" s="67">
        <v>92695</v>
      </c>
      <c r="C77" s="72" t="s">
        <v>88</v>
      </c>
      <c r="D77" s="496">
        <v>52199</v>
      </c>
      <c r="E77" s="238">
        <v>52198.94</v>
      </c>
      <c r="F77" s="70">
        <f>E77</f>
        <v>52198.94</v>
      </c>
      <c r="G77" s="70"/>
      <c r="H77" s="70"/>
      <c r="I77" s="70">
        <v>30000</v>
      </c>
      <c r="J77" s="70"/>
      <c r="K77" s="70"/>
      <c r="L77" s="235">
        <f t="shared" si="0"/>
        <v>99.99988505526926</v>
      </c>
      <c r="M77" s="98"/>
    </row>
    <row r="78" spans="1:13">
      <c r="A78" s="796" t="s">
        <v>111</v>
      </c>
      <c r="B78" s="796"/>
      <c r="C78" s="796"/>
      <c r="D78" s="278">
        <f>D13+D17+D19+D22+D25+D35+D37+D48+D51+D58+D62+D70+D74+D30+D11</f>
        <v>45454564.600000001</v>
      </c>
      <c r="E78" s="80">
        <f t="shared" ref="E78:K78" si="15">E13+E17+E19+E22+E25+E35+E37+E48+E51+E58+E62+E70+E74+E30+E11</f>
        <v>44224076.620000005</v>
      </c>
      <c r="F78" s="80">
        <f t="shared" si="15"/>
        <v>37474292.899999999</v>
      </c>
      <c r="G78" s="80">
        <f t="shared" si="15"/>
        <v>15845350.349999998</v>
      </c>
      <c r="H78" s="80">
        <f t="shared" si="15"/>
        <v>2663667.2200000007</v>
      </c>
      <c r="I78" s="80">
        <f t="shared" si="15"/>
        <v>6757590.4699999997</v>
      </c>
      <c r="J78" s="80">
        <f t="shared" si="15"/>
        <v>371604.72</v>
      </c>
      <c r="K78" s="80">
        <f t="shared" si="15"/>
        <v>6749783.7200000007</v>
      </c>
      <c r="L78" s="234">
        <f t="shared" si="0"/>
        <v>97.292927584218916</v>
      </c>
      <c r="M78" s="98"/>
    </row>
    <row r="80" spans="1:13">
      <c r="D80" s="99"/>
      <c r="E80" s="98"/>
      <c r="F80" s="672"/>
      <c r="G80" s="672"/>
      <c r="H80" s="98"/>
      <c r="K80" s="98"/>
    </row>
    <row r="82" spans="5:7">
      <c r="E82" s="98"/>
      <c r="G82" s="98"/>
    </row>
    <row r="83" spans="5:7">
      <c r="E83" s="98"/>
    </row>
  </sheetData>
  <mergeCells count="28">
    <mergeCell ref="I1:L1"/>
    <mergeCell ref="A2:L2"/>
    <mergeCell ref="A3:L3"/>
    <mergeCell ref="A4:L4"/>
    <mergeCell ref="A6:A9"/>
    <mergeCell ref="B6:B9"/>
    <mergeCell ref="C6:C9"/>
    <mergeCell ref="D6:D9"/>
    <mergeCell ref="F6:K6"/>
    <mergeCell ref="L6:L9"/>
    <mergeCell ref="K7:K9"/>
    <mergeCell ref="F8:F9"/>
    <mergeCell ref="A63:A69"/>
    <mergeCell ref="A78:C78"/>
    <mergeCell ref="F7:J7"/>
    <mergeCell ref="A71:A73"/>
    <mergeCell ref="A75:A77"/>
    <mergeCell ref="A26:A29"/>
    <mergeCell ref="A38:A47"/>
    <mergeCell ref="E6:E9"/>
    <mergeCell ref="G8:J8"/>
    <mergeCell ref="A31:A34"/>
    <mergeCell ref="A14:A16"/>
    <mergeCell ref="A20:A21"/>
    <mergeCell ref="A23:A24"/>
    <mergeCell ref="A49:A50"/>
    <mergeCell ref="A59:A61"/>
    <mergeCell ref="A52:A57"/>
  </mergeCells>
  <pageMargins left="0.7" right="0.7" top="0.75" bottom="0.75" header="0.3" footer="0.3"/>
  <pageSetup paperSize="9" firstPageNumber="38" orientation="landscape" useFirstPageNumber="1" horizontalDpi="1200" verticalDpi="1200" r:id="rId1"/>
  <headerFooter alignWithMargins="0">
    <oddFooter>&amp;CZałącznik Nr 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M94"/>
  <sheetViews>
    <sheetView view="pageLayout" workbookViewId="0">
      <selection activeCell="C30" sqref="C30"/>
    </sheetView>
  </sheetViews>
  <sheetFormatPr defaultColWidth="9" defaultRowHeight="12.75"/>
  <cols>
    <col min="1" max="1" width="5" customWidth="1"/>
    <col min="2" max="2" width="6.28515625" customWidth="1"/>
    <col min="3" max="3" width="36.42578125" customWidth="1"/>
    <col min="4" max="4" width="11.28515625" customWidth="1"/>
    <col min="5" max="5" width="13" customWidth="1"/>
    <col min="6" max="6" width="12.5703125" customWidth="1"/>
    <col min="7" max="7" width="12.42578125" customWidth="1"/>
    <col min="8" max="8" width="10.140625" customWidth="1"/>
    <col min="9" max="9" width="8.5703125" customWidth="1"/>
    <col min="10" max="10" width="8.140625" customWidth="1"/>
    <col min="11" max="11" width="9" customWidth="1"/>
    <col min="12" max="12" width="7.5703125" customWidth="1"/>
  </cols>
  <sheetData>
    <row r="1" spans="1:13">
      <c r="I1" s="847" t="s">
        <v>501</v>
      </c>
      <c r="J1" s="848"/>
      <c r="K1" s="848"/>
      <c r="L1" s="848"/>
    </row>
    <row r="2" spans="1:13" ht="15.75">
      <c r="A2" s="849" t="s">
        <v>126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</row>
    <row r="3" spans="1:13" ht="14.25" customHeight="1">
      <c r="A3" s="850" t="s">
        <v>150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</row>
    <row r="4" spans="1:13" ht="15.75">
      <c r="A4" s="849" t="s">
        <v>518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</row>
    <row r="5" spans="1:13" ht="12.75" customHeight="1">
      <c r="K5" s="22" t="s">
        <v>6</v>
      </c>
    </row>
    <row r="6" spans="1:13" s="7" customFormat="1" ht="12.75" customHeight="1">
      <c r="A6" s="844" t="s">
        <v>7</v>
      </c>
      <c r="B6" s="844" t="s">
        <v>127</v>
      </c>
      <c r="C6" s="844" t="s">
        <v>10</v>
      </c>
      <c r="D6" s="844" t="s">
        <v>128</v>
      </c>
      <c r="E6" s="844" t="s">
        <v>12</v>
      </c>
      <c r="F6" s="846" t="s">
        <v>327</v>
      </c>
      <c r="G6" s="846"/>
      <c r="H6" s="846"/>
      <c r="I6" s="846"/>
      <c r="J6" s="846"/>
      <c r="K6" s="846"/>
      <c r="L6" s="844" t="s">
        <v>129</v>
      </c>
    </row>
    <row r="7" spans="1:13" s="7" customFormat="1" ht="12.75" customHeight="1">
      <c r="A7" s="844"/>
      <c r="B7" s="844"/>
      <c r="C7" s="844"/>
      <c r="D7" s="844"/>
      <c r="E7" s="844"/>
      <c r="F7" s="843" t="s">
        <v>130</v>
      </c>
      <c r="G7" s="843"/>
      <c r="H7" s="843"/>
      <c r="I7" s="843"/>
      <c r="J7" s="843"/>
      <c r="K7" s="844" t="s">
        <v>131</v>
      </c>
      <c r="L7" s="844"/>
    </row>
    <row r="8" spans="1:13" s="7" customFormat="1" ht="12.75" customHeight="1">
      <c r="A8" s="844"/>
      <c r="B8" s="844"/>
      <c r="C8" s="844"/>
      <c r="D8" s="844"/>
      <c r="E8" s="844"/>
      <c r="F8" s="845" t="s">
        <v>132</v>
      </c>
      <c r="G8" s="846" t="s">
        <v>133</v>
      </c>
      <c r="H8" s="846"/>
      <c r="I8" s="846"/>
      <c r="J8" s="846"/>
      <c r="K8" s="844"/>
      <c r="L8" s="844"/>
    </row>
    <row r="9" spans="1:13" s="7" customFormat="1" ht="36" customHeight="1">
      <c r="A9" s="844"/>
      <c r="B9" s="844"/>
      <c r="C9" s="844"/>
      <c r="D9" s="844"/>
      <c r="E9" s="844"/>
      <c r="F9" s="845"/>
      <c r="G9" s="109" t="s">
        <v>409</v>
      </c>
      <c r="H9" s="109" t="s">
        <v>452</v>
      </c>
      <c r="I9" s="109" t="s">
        <v>134</v>
      </c>
      <c r="J9" s="109" t="s">
        <v>135</v>
      </c>
      <c r="K9" s="844"/>
      <c r="L9" s="844"/>
    </row>
    <row r="10" spans="1:13" s="18" customFormat="1" ht="9.75">
      <c r="A10" s="110">
        <v>1</v>
      </c>
      <c r="B10" s="110">
        <v>2</v>
      </c>
      <c r="C10" s="110">
        <v>3</v>
      </c>
      <c r="D10" s="110">
        <v>4</v>
      </c>
      <c r="E10" s="110">
        <v>5</v>
      </c>
      <c r="F10" s="110">
        <v>6</v>
      </c>
      <c r="G10" s="110">
        <v>7</v>
      </c>
      <c r="H10" s="110">
        <v>8</v>
      </c>
      <c r="I10" s="110">
        <v>9</v>
      </c>
      <c r="J10" s="110">
        <v>10</v>
      </c>
      <c r="K10" s="110">
        <v>11</v>
      </c>
      <c r="L10" s="110">
        <v>12</v>
      </c>
    </row>
    <row r="11" spans="1:13" s="19" customFormat="1">
      <c r="A11" s="111" t="s">
        <v>14</v>
      </c>
      <c r="B11" s="111"/>
      <c r="C11" s="102" t="s">
        <v>15</v>
      </c>
      <c r="D11" s="118">
        <f>D12+D13</f>
        <v>84100</v>
      </c>
      <c r="E11" s="119">
        <f>E12+E13</f>
        <v>84000</v>
      </c>
      <c r="F11" s="114">
        <f>F12+F13</f>
        <v>84000</v>
      </c>
      <c r="G11" s="120"/>
      <c r="H11" s="121"/>
      <c r="I11" s="121"/>
      <c r="J11" s="121"/>
      <c r="K11" s="121"/>
      <c r="L11" s="122">
        <f>E11/D11*100</f>
        <v>99.881093935790716</v>
      </c>
      <c r="M11" s="104"/>
    </row>
    <row r="12" spans="1:13" ht="24">
      <c r="A12" s="829" t="s">
        <v>16</v>
      </c>
      <c r="B12" s="68" t="s">
        <v>17</v>
      </c>
      <c r="C12" s="158" t="s">
        <v>18</v>
      </c>
      <c r="D12" s="115">
        <v>84000</v>
      </c>
      <c r="E12" s="116">
        <v>84000</v>
      </c>
      <c r="F12" s="116">
        <v>84000</v>
      </c>
      <c r="G12" s="116"/>
      <c r="H12" s="116"/>
      <c r="I12" s="116"/>
      <c r="J12" s="116"/>
      <c r="K12" s="116"/>
      <c r="L12" s="124">
        <f t="shared" ref="L12:L32" si="0">E12/D12*100</f>
        <v>100</v>
      </c>
      <c r="M12" s="104"/>
    </row>
    <row r="13" spans="1:13">
      <c r="A13" s="831"/>
      <c r="B13" s="75" t="s">
        <v>20</v>
      </c>
      <c r="C13" s="123" t="s">
        <v>21</v>
      </c>
      <c r="D13" s="115">
        <v>100</v>
      </c>
      <c r="E13" s="116">
        <v>0</v>
      </c>
      <c r="F13" s="116">
        <v>0</v>
      </c>
      <c r="G13" s="116"/>
      <c r="H13" s="116"/>
      <c r="I13" s="116"/>
      <c r="J13" s="116"/>
      <c r="K13" s="116"/>
      <c r="L13" s="124">
        <f t="shared" si="0"/>
        <v>0</v>
      </c>
      <c r="M13" s="104"/>
    </row>
    <row r="14" spans="1:13" s="3" customFormat="1">
      <c r="A14" s="111">
        <v>700</v>
      </c>
      <c r="B14" s="111"/>
      <c r="C14" s="125" t="s">
        <v>44</v>
      </c>
      <c r="D14" s="113">
        <f>D15</f>
        <v>16650</v>
      </c>
      <c r="E14" s="114">
        <f>E15</f>
        <v>16629.78</v>
      </c>
      <c r="F14" s="114">
        <f>F15</f>
        <v>16629.78</v>
      </c>
      <c r="G14" s="114"/>
      <c r="H14" s="114"/>
      <c r="I14" s="114"/>
      <c r="J14" s="114"/>
      <c r="K14" s="114"/>
      <c r="L14" s="122">
        <f t="shared" si="0"/>
        <v>99.878558558558552</v>
      </c>
      <c r="M14" s="104"/>
    </row>
    <row r="15" spans="1:13">
      <c r="A15" s="68" t="s">
        <v>16</v>
      </c>
      <c r="B15" s="68">
        <v>70005</v>
      </c>
      <c r="C15" s="123" t="s">
        <v>45</v>
      </c>
      <c r="D15" s="115">
        <v>16650</v>
      </c>
      <c r="E15" s="116">
        <v>16629.78</v>
      </c>
      <c r="F15" s="116">
        <v>16629.78</v>
      </c>
      <c r="G15" s="116">
        <v>0</v>
      </c>
      <c r="H15" s="116">
        <v>0</v>
      </c>
      <c r="I15" s="116"/>
      <c r="J15" s="116"/>
      <c r="K15" s="116"/>
      <c r="L15" s="124">
        <f t="shared" si="0"/>
        <v>99.878558558558552</v>
      </c>
      <c r="M15" s="104"/>
    </row>
    <row r="16" spans="1:13" s="3" customFormat="1">
      <c r="A16" s="111">
        <v>710</v>
      </c>
      <c r="B16" s="111"/>
      <c r="C16" s="125" t="s">
        <v>50</v>
      </c>
      <c r="D16" s="113">
        <f>D17+D18+D19</f>
        <v>347167</v>
      </c>
      <c r="E16" s="114">
        <f>E17+E18+E19</f>
        <v>346955.08</v>
      </c>
      <c r="F16" s="114">
        <f>F17+F18+F19</f>
        <v>346955.08</v>
      </c>
      <c r="G16" s="114">
        <f>G17+G18+G19</f>
        <v>207793.36000000002</v>
      </c>
      <c r="H16" s="114">
        <f>H17+H18+H19</f>
        <v>37130.93</v>
      </c>
      <c r="I16" s="114"/>
      <c r="J16" s="114"/>
      <c r="K16" s="267">
        <f>K19</f>
        <v>0</v>
      </c>
      <c r="L16" s="122">
        <f t="shared" si="0"/>
        <v>99.938957331774048</v>
      </c>
      <c r="M16" s="104"/>
    </row>
    <row r="17" spans="1:13" ht="12.75" customHeight="1">
      <c r="A17" s="802" t="s">
        <v>16</v>
      </c>
      <c r="B17" s="68">
        <v>71013</v>
      </c>
      <c r="C17" s="219" t="s">
        <v>335</v>
      </c>
      <c r="D17" s="115">
        <v>58000</v>
      </c>
      <c r="E17" s="116">
        <v>58000</v>
      </c>
      <c r="F17" s="116">
        <v>58000</v>
      </c>
      <c r="G17" s="116"/>
      <c r="H17" s="116"/>
      <c r="I17" s="116"/>
      <c r="J17" s="116"/>
      <c r="K17" s="267"/>
      <c r="L17" s="124">
        <f t="shared" si="0"/>
        <v>100</v>
      </c>
      <c r="M17" s="104"/>
    </row>
    <row r="18" spans="1:13" ht="12.75" customHeight="1">
      <c r="A18" s="802"/>
      <c r="B18" s="68">
        <v>71014</v>
      </c>
      <c r="C18" s="72" t="s">
        <v>51</v>
      </c>
      <c r="D18" s="115">
        <v>17000</v>
      </c>
      <c r="E18" s="116">
        <v>17000</v>
      </c>
      <c r="F18" s="116">
        <v>17000</v>
      </c>
      <c r="G18" s="116"/>
      <c r="H18" s="116"/>
      <c r="I18" s="116"/>
      <c r="J18" s="116"/>
      <c r="K18" s="267"/>
      <c r="L18" s="124">
        <f t="shared" si="0"/>
        <v>100</v>
      </c>
      <c r="M18" s="104"/>
    </row>
    <row r="19" spans="1:13">
      <c r="A19" s="802"/>
      <c r="B19" s="68">
        <v>71015</v>
      </c>
      <c r="C19" s="72" t="s">
        <v>52</v>
      </c>
      <c r="D19" s="115">
        <v>272167</v>
      </c>
      <c r="E19" s="116">
        <v>271955.08</v>
      </c>
      <c r="F19" s="116">
        <v>271955.08</v>
      </c>
      <c r="G19" s="116">
        <f>66720+126984.32+14089.04</f>
        <v>207793.36000000002</v>
      </c>
      <c r="H19" s="116">
        <f>32104.64+5026.29</f>
        <v>37130.93</v>
      </c>
      <c r="I19" s="116"/>
      <c r="J19" s="116"/>
      <c r="K19" s="267">
        <v>0</v>
      </c>
      <c r="L19" s="124">
        <f t="shared" si="0"/>
        <v>99.922136041474545</v>
      </c>
      <c r="M19" s="104"/>
    </row>
    <row r="20" spans="1:13" s="3" customFormat="1">
      <c r="A20" s="111">
        <v>750</v>
      </c>
      <c r="B20" s="111"/>
      <c r="C20" s="112" t="s">
        <v>53</v>
      </c>
      <c r="D20" s="113">
        <f>D21+D22</f>
        <v>120578</v>
      </c>
      <c r="E20" s="114">
        <f>E21+E22</f>
        <v>120576.19</v>
      </c>
      <c r="F20" s="114">
        <f>F21+F22</f>
        <v>120576.19</v>
      </c>
      <c r="G20" s="114">
        <f>G21+G22</f>
        <v>100229</v>
      </c>
      <c r="H20" s="114">
        <f>H21+H22</f>
        <v>16146.72</v>
      </c>
      <c r="I20" s="114"/>
      <c r="J20" s="114"/>
      <c r="K20" s="267"/>
      <c r="L20" s="122">
        <f t="shared" si="0"/>
        <v>99.998498896979555</v>
      </c>
      <c r="M20" s="104"/>
    </row>
    <row r="21" spans="1:13">
      <c r="A21" s="802" t="s">
        <v>16</v>
      </c>
      <c r="B21" s="68">
        <v>75011</v>
      </c>
      <c r="C21" s="72" t="s">
        <v>54</v>
      </c>
      <c r="D21" s="115">
        <v>104200</v>
      </c>
      <c r="E21" s="116">
        <v>104200</v>
      </c>
      <c r="F21" s="116">
        <v>104200</v>
      </c>
      <c r="G21" s="116">
        <v>88650</v>
      </c>
      <c r="H21" s="116">
        <f>F21-G21</f>
        <v>15550</v>
      </c>
      <c r="I21" s="116"/>
      <c r="J21" s="116"/>
      <c r="K21" s="267"/>
      <c r="L21" s="124">
        <f t="shared" si="0"/>
        <v>100</v>
      </c>
      <c r="M21" s="104"/>
    </row>
    <row r="22" spans="1:13">
      <c r="A22" s="802"/>
      <c r="B22" s="68">
        <v>75045</v>
      </c>
      <c r="C22" s="72" t="s">
        <v>607</v>
      </c>
      <c r="D22" s="115">
        <f>16760-382</f>
        <v>16378</v>
      </c>
      <c r="E22" s="116">
        <f>16758.19-382</f>
        <v>16376.189999999999</v>
      </c>
      <c r="F22" s="116">
        <v>16376.19</v>
      </c>
      <c r="G22" s="116">
        <f>9579+2000</f>
        <v>11579</v>
      </c>
      <c r="H22" s="116">
        <f>513.4+83.32</f>
        <v>596.72</v>
      </c>
      <c r="I22" s="116"/>
      <c r="J22" s="116"/>
      <c r="K22" s="116"/>
      <c r="L22" s="124">
        <f t="shared" si="0"/>
        <v>99.988948589571365</v>
      </c>
      <c r="M22" s="104"/>
    </row>
    <row r="23" spans="1:13" s="3" customFormat="1" ht="25.5" customHeight="1">
      <c r="A23" s="111">
        <v>754</v>
      </c>
      <c r="B23" s="111"/>
      <c r="C23" s="149" t="s">
        <v>63</v>
      </c>
      <c r="D23" s="113">
        <f>D24</f>
        <v>3369231</v>
      </c>
      <c r="E23" s="114">
        <f>E24</f>
        <v>3369180.47</v>
      </c>
      <c r="F23" s="114">
        <f>F24</f>
        <v>2927985.27</v>
      </c>
      <c r="G23" s="114">
        <f>G24</f>
        <v>2414415.1900000004</v>
      </c>
      <c r="H23" s="114">
        <f>H24</f>
        <v>14515.51</v>
      </c>
      <c r="I23" s="114"/>
      <c r="J23" s="114"/>
      <c r="K23" s="114">
        <f>K24</f>
        <v>441195.2</v>
      </c>
      <c r="L23" s="122">
        <f t="shared" si="0"/>
        <v>99.99850025124428</v>
      </c>
      <c r="M23" s="104"/>
    </row>
    <row r="24" spans="1:13" ht="12" customHeight="1">
      <c r="A24" s="68"/>
      <c r="B24" s="68">
        <v>75411</v>
      </c>
      <c r="C24" s="72" t="s">
        <v>64</v>
      </c>
      <c r="D24" s="115">
        <v>3369231</v>
      </c>
      <c r="E24" s="116">
        <v>3369180.47</v>
      </c>
      <c r="F24" s="116">
        <f>E24-K24</f>
        <v>2927985.27</v>
      </c>
      <c r="G24" s="116">
        <f>65058+2662.28+1991777+162724.9+150268.01+32325+9600</f>
        <v>2414415.1900000004</v>
      </c>
      <c r="H24" s="116">
        <f>12855.28+1660.23</f>
        <v>14515.51</v>
      </c>
      <c r="I24" s="116"/>
      <c r="J24" s="116"/>
      <c r="K24" s="116">
        <f>400000+33200+7995.2</f>
        <v>441195.2</v>
      </c>
      <c r="L24" s="124">
        <f t="shared" si="0"/>
        <v>99.99850025124428</v>
      </c>
      <c r="M24" s="104"/>
    </row>
    <row r="25" spans="1:13" s="3" customFormat="1">
      <c r="A25" s="111">
        <v>851</v>
      </c>
      <c r="B25" s="111"/>
      <c r="C25" s="117" t="s">
        <v>91</v>
      </c>
      <c r="D25" s="113">
        <f>D26</f>
        <v>2362000</v>
      </c>
      <c r="E25" s="114">
        <f>E26</f>
        <v>2358263</v>
      </c>
      <c r="F25" s="114">
        <f>F26</f>
        <v>2358263</v>
      </c>
      <c r="G25" s="114"/>
      <c r="H25" s="114"/>
      <c r="I25" s="114"/>
      <c r="J25" s="114"/>
      <c r="K25" s="114"/>
      <c r="L25" s="122">
        <f t="shared" si="0"/>
        <v>99.841786621507197</v>
      </c>
      <c r="M25" s="104"/>
    </row>
    <row r="26" spans="1:13" ht="23.25" customHeight="1">
      <c r="A26" s="68"/>
      <c r="B26" s="68">
        <v>85156</v>
      </c>
      <c r="C26" s="220" t="s">
        <v>400</v>
      </c>
      <c r="D26" s="115">
        <v>2362000</v>
      </c>
      <c r="E26" s="116">
        <v>2358263</v>
      </c>
      <c r="F26" s="116">
        <f>E26</f>
        <v>2358263</v>
      </c>
      <c r="G26" s="116"/>
      <c r="H26" s="116"/>
      <c r="I26" s="116"/>
      <c r="J26" s="116"/>
      <c r="K26" s="116"/>
      <c r="L26" s="124">
        <f t="shared" si="0"/>
        <v>99.841786621507197</v>
      </c>
      <c r="M26" s="104"/>
    </row>
    <row r="27" spans="1:13" s="3" customFormat="1">
      <c r="A27" s="111">
        <v>852</v>
      </c>
      <c r="B27" s="111"/>
      <c r="C27" s="112" t="s">
        <v>94</v>
      </c>
      <c r="D27" s="113">
        <f>D28</f>
        <v>713526</v>
      </c>
      <c r="E27" s="114">
        <f>E28</f>
        <v>713435.19</v>
      </c>
      <c r="F27" s="114">
        <f>F28</f>
        <v>713435.19</v>
      </c>
      <c r="G27" s="114">
        <f>G28</f>
        <v>423201.97000000003</v>
      </c>
      <c r="H27" s="114">
        <f>H28</f>
        <v>70558.67</v>
      </c>
      <c r="I27" s="114"/>
      <c r="J27" s="114"/>
      <c r="K27" s="114"/>
      <c r="L27" s="122">
        <f t="shared" si="0"/>
        <v>99.987273063630468</v>
      </c>
      <c r="M27" s="104"/>
    </row>
    <row r="28" spans="1:13">
      <c r="A28" s="68"/>
      <c r="B28" s="68">
        <v>85203</v>
      </c>
      <c r="C28" s="72" t="s">
        <v>98</v>
      </c>
      <c r="D28" s="115">
        <v>713526</v>
      </c>
      <c r="E28" s="116">
        <v>713435.19</v>
      </c>
      <c r="F28" s="116">
        <f>E28</f>
        <v>713435.19</v>
      </c>
      <c r="G28" s="116">
        <f>142203.79+9808.73+25717+226342.68+15979.77+3150</f>
        <v>423201.97000000003</v>
      </c>
      <c r="H28" s="116">
        <f>23946.22+3733.76+37089.93+5788.76</f>
        <v>70558.67</v>
      </c>
      <c r="I28" s="116"/>
      <c r="J28" s="116"/>
      <c r="K28" s="116"/>
      <c r="L28" s="124">
        <f t="shared" si="0"/>
        <v>99.987273063630468</v>
      </c>
      <c r="M28" s="104"/>
    </row>
    <row r="29" spans="1:13" s="3" customFormat="1" ht="15" customHeight="1">
      <c r="A29" s="111">
        <v>853</v>
      </c>
      <c r="B29" s="111"/>
      <c r="C29" s="112" t="s">
        <v>102</v>
      </c>
      <c r="D29" s="113">
        <f>D30+D31</f>
        <v>124915</v>
      </c>
      <c r="E29" s="114">
        <f>E30+E31</f>
        <v>123735.63</v>
      </c>
      <c r="F29" s="114">
        <f>F30+F31</f>
        <v>123735.63</v>
      </c>
      <c r="G29" s="114">
        <f>G30</f>
        <v>45615.64</v>
      </c>
      <c r="H29" s="114">
        <f>H30</f>
        <v>5516.27</v>
      </c>
      <c r="I29" s="114"/>
      <c r="J29" s="114"/>
      <c r="K29" s="114"/>
      <c r="L29" s="122">
        <f t="shared" si="0"/>
        <v>99.055861986150589</v>
      </c>
      <c r="M29" s="104"/>
    </row>
    <row r="30" spans="1:13">
      <c r="A30" s="802"/>
      <c r="B30" s="68">
        <v>85321</v>
      </c>
      <c r="C30" s="150" t="s">
        <v>628</v>
      </c>
      <c r="D30" s="115">
        <v>81000</v>
      </c>
      <c r="E30" s="116">
        <v>80947.03</v>
      </c>
      <c r="F30" s="116">
        <f>E30</f>
        <v>80947.03</v>
      </c>
      <c r="G30" s="116">
        <f>27211.52+2180.12+16224</f>
        <v>45615.64</v>
      </c>
      <c r="H30" s="116">
        <f>4805.85+710.42</f>
        <v>5516.27</v>
      </c>
      <c r="I30" s="116"/>
      <c r="J30" s="116"/>
      <c r="K30" s="116"/>
      <c r="L30" s="124">
        <f t="shared" si="0"/>
        <v>99.934604938271605</v>
      </c>
      <c r="M30" s="104"/>
    </row>
    <row r="31" spans="1:13">
      <c r="A31" s="802"/>
      <c r="B31" s="68">
        <v>85334</v>
      </c>
      <c r="C31" s="72" t="s">
        <v>104</v>
      </c>
      <c r="D31" s="115">
        <v>43915</v>
      </c>
      <c r="E31" s="116">
        <v>42788.6</v>
      </c>
      <c r="F31" s="116">
        <f>E31</f>
        <v>42788.6</v>
      </c>
      <c r="G31" s="116"/>
      <c r="H31" s="116"/>
      <c r="I31" s="116"/>
      <c r="J31" s="116"/>
      <c r="K31" s="116"/>
      <c r="L31" s="124">
        <f t="shared" si="0"/>
        <v>97.435044973243762</v>
      </c>
      <c r="M31" s="104"/>
    </row>
    <row r="32" spans="1:13" s="3" customFormat="1">
      <c r="A32" s="796" t="s">
        <v>111</v>
      </c>
      <c r="B32" s="796"/>
      <c r="C32" s="796"/>
      <c r="D32" s="113">
        <f t="shared" ref="D32:K32" si="1">D11+D14+D16+D20+D23+D25+D27+D29</f>
        <v>7138167</v>
      </c>
      <c r="E32" s="114">
        <f t="shared" si="1"/>
        <v>7132775.3400000008</v>
      </c>
      <c r="F32" s="114">
        <f t="shared" si="1"/>
        <v>6691580.1399999997</v>
      </c>
      <c r="G32" s="114">
        <f t="shared" si="1"/>
        <v>3191255.1600000006</v>
      </c>
      <c r="H32" s="114">
        <f>H11+H14+H16+H20+H23+H25+H27+H29</f>
        <v>143868.1</v>
      </c>
      <c r="I32" s="267">
        <f t="shared" si="1"/>
        <v>0</v>
      </c>
      <c r="J32" s="267">
        <f t="shared" si="1"/>
        <v>0</v>
      </c>
      <c r="K32" s="114">
        <f t="shared" si="1"/>
        <v>441195.2</v>
      </c>
      <c r="L32" s="122">
        <f t="shared" si="0"/>
        <v>99.924467163628989</v>
      </c>
      <c r="M32" s="104"/>
    </row>
    <row r="33" spans="1:11">
      <c r="A33" s="23"/>
      <c r="B33" s="23"/>
      <c r="C33" s="1"/>
      <c r="D33" s="1"/>
      <c r="E33" s="1"/>
      <c r="F33" s="1"/>
      <c r="G33" s="1"/>
      <c r="H33" s="1"/>
      <c r="I33" s="281"/>
      <c r="J33" s="281"/>
      <c r="K33" s="1"/>
    </row>
    <row r="34" spans="1:11">
      <c r="A34" s="23"/>
      <c r="B34" s="23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23"/>
      <c r="B35" s="23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23"/>
      <c r="B36" s="23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23"/>
      <c r="B37" s="23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23"/>
      <c r="B38" s="23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23"/>
      <c r="B39" s="23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23"/>
      <c r="B40" s="23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23"/>
      <c r="B41" s="23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23"/>
      <c r="B42" s="23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23"/>
      <c r="B43" s="23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23"/>
      <c r="B44" s="23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23"/>
      <c r="B45" s="23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23"/>
      <c r="B46" s="23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23"/>
      <c r="B47" s="23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23"/>
      <c r="B48" s="23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23"/>
      <c r="B49" s="23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23"/>
      <c r="B50" s="23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23"/>
      <c r="B51" s="23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23"/>
      <c r="B52" s="23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23"/>
      <c r="B55" s="23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23"/>
      <c r="B56" s="23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23"/>
      <c r="B57" s="23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23"/>
      <c r="B60" s="23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23"/>
      <c r="B61" s="23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23"/>
      <c r="B62" s="23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23"/>
      <c r="B63" s="23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23"/>
      <c r="B64" s="23"/>
    </row>
    <row r="65" spans="1:2">
      <c r="A65" s="23"/>
      <c r="B65" s="23"/>
    </row>
    <row r="66" spans="1:2">
      <c r="A66" s="23"/>
      <c r="B66" s="23"/>
    </row>
    <row r="67" spans="1:2">
      <c r="A67" s="23"/>
      <c r="B67" s="23"/>
    </row>
    <row r="68" spans="1:2">
      <c r="A68" s="23"/>
      <c r="B68" s="23"/>
    </row>
    <row r="69" spans="1:2">
      <c r="A69" s="23"/>
      <c r="B69" s="23"/>
    </row>
    <row r="70" spans="1:2">
      <c r="A70" s="23"/>
      <c r="B70" s="23"/>
    </row>
    <row r="71" spans="1:2">
      <c r="A71" s="23"/>
      <c r="B71" s="23"/>
    </row>
    <row r="72" spans="1:2">
      <c r="A72" s="23"/>
      <c r="B72" s="23"/>
    </row>
    <row r="73" spans="1:2">
      <c r="A73" s="23"/>
      <c r="B73" s="23"/>
    </row>
    <row r="74" spans="1:2">
      <c r="A74" s="23"/>
      <c r="B74" s="23"/>
    </row>
    <row r="75" spans="1:2">
      <c r="A75" s="23"/>
      <c r="B75" s="23"/>
    </row>
    <row r="76" spans="1:2">
      <c r="A76" s="23"/>
      <c r="B76" s="23"/>
    </row>
    <row r="77" spans="1:2">
      <c r="A77" s="23"/>
      <c r="B77" s="23"/>
    </row>
    <row r="78" spans="1:2">
      <c r="A78" s="23"/>
      <c r="B78" s="23"/>
    </row>
    <row r="79" spans="1:2">
      <c r="A79" s="23"/>
      <c r="B79" s="23"/>
    </row>
    <row r="80" spans="1:2">
      <c r="A80" s="23"/>
      <c r="B80" s="23"/>
    </row>
    <row r="81" spans="1:2">
      <c r="A81" s="23"/>
      <c r="B81" s="23"/>
    </row>
    <row r="82" spans="1:2">
      <c r="A82" s="23"/>
      <c r="B82" s="23"/>
    </row>
    <row r="83" spans="1:2">
      <c r="A83" s="23"/>
      <c r="B83" s="23"/>
    </row>
    <row r="84" spans="1:2">
      <c r="A84" s="23"/>
      <c r="B84" s="23"/>
    </row>
    <row r="85" spans="1:2">
      <c r="A85" s="23"/>
      <c r="B85" s="23"/>
    </row>
    <row r="86" spans="1:2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4" spans="1:2">
      <c r="A94" s="23"/>
      <c r="B94" s="23"/>
    </row>
  </sheetData>
  <mergeCells count="20">
    <mergeCell ref="I1:L1"/>
    <mergeCell ref="A2:L2"/>
    <mergeCell ref="A3:L3"/>
    <mergeCell ref="A4:L4"/>
    <mergeCell ref="A6:A9"/>
    <mergeCell ref="B6:B9"/>
    <mergeCell ref="C6:C9"/>
    <mergeCell ref="D6:D9"/>
    <mergeCell ref="F6:K6"/>
    <mergeCell ref="L6:L9"/>
    <mergeCell ref="A32:C32"/>
    <mergeCell ref="F7:J7"/>
    <mergeCell ref="K7:K9"/>
    <mergeCell ref="F8:F9"/>
    <mergeCell ref="A17:A19"/>
    <mergeCell ref="A21:A22"/>
    <mergeCell ref="A30:A31"/>
    <mergeCell ref="E6:E9"/>
    <mergeCell ref="A12:A13"/>
    <mergeCell ref="G8:J8"/>
  </mergeCells>
  <pageMargins left="0.39370078740157483" right="0.39370078740157483" top="0.98425196850393704" bottom="0.55118110236220474" header="0.51181102362204722" footer="0.19685039370078741"/>
  <pageSetup paperSize="9" firstPageNumber="40" orientation="landscape" useFirstPageNumber="1" horizontalDpi="300" verticalDpi="300" r:id="rId1"/>
  <headerFooter alignWithMargins="0">
    <oddFooter>&amp;CZałącznik Nr 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18"/>
  <sheetViews>
    <sheetView view="pageLayout" workbookViewId="0">
      <selection activeCell="G33" sqref="G32:G33"/>
    </sheetView>
  </sheetViews>
  <sheetFormatPr defaultRowHeight="12.75"/>
  <cols>
    <col min="1" max="1" width="5.42578125" customWidth="1"/>
    <col min="2" max="2" width="7.140625" customWidth="1"/>
    <col min="3" max="3" width="22.42578125" customWidth="1"/>
    <col min="4" max="4" width="11.7109375" customWidth="1"/>
    <col min="5" max="5" width="13" customWidth="1"/>
    <col min="6" max="6" width="12.7109375" customWidth="1"/>
    <col min="7" max="7" width="12.28515625" customWidth="1"/>
    <col min="8" max="11" width="9.42578125" bestFit="1" customWidth="1"/>
  </cols>
  <sheetData>
    <row r="1" spans="1:12">
      <c r="A1" s="618"/>
      <c r="B1" s="618"/>
      <c r="C1" s="618"/>
      <c r="D1" s="618"/>
      <c r="E1" s="618"/>
      <c r="F1" s="618"/>
      <c r="G1" s="618"/>
      <c r="H1" s="618"/>
      <c r="I1" s="851" t="s">
        <v>263</v>
      </c>
      <c r="J1" s="851"/>
      <c r="K1" s="851"/>
      <c r="L1" s="851"/>
    </row>
    <row r="2" spans="1:12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</row>
    <row r="3" spans="1:12">
      <c r="A3" s="852" t="s">
        <v>548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</row>
    <row r="4" spans="1:12">
      <c r="A4" s="852" t="s">
        <v>225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</row>
    <row r="5" spans="1:12">
      <c r="A5" s="853" t="s">
        <v>549</v>
      </c>
      <c r="B5" s="853"/>
      <c r="C5" s="853"/>
      <c r="D5" s="853"/>
      <c r="E5" s="853"/>
      <c r="F5" s="853"/>
      <c r="G5" s="853"/>
      <c r="H5" s="853"/>
      <c r="I5" s="853"/>
      <c r="J5" s="853"/>
      <c r="K5" s="853"/>
      <c r="L5" s="853"/>
    </row>
    <row r="6" spans="1:12">
      <c r="A6" s="852" t="s">
        <v>518</v>
      </c>
      <c r="B6" s="852"/>
      <c r="C6" s="852"/>
      <c r="D6" s="852"/>
      <c r="E6" s="852"/>
      <c r="F6" s="852"/>
      <c r="G6" s="852"/>
      <c r="H6" s="852"/>
      <c r="I6" s="852"/>
      <c r="J6" s="852"/>
      <c r="K6" s="852"/>
      <c r="L6" s="852"/>
    </row>
    <row r="7" spans="1:12">
      <c r="A7" s="618"/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</row>
    <row r="8" spans="1:12">
      <c r="A8" s="618" t="s">
        <v>550</v>
      </c>
      <c r="B8" s="618"/>
      <c r="C8" s="618"/>
      <c r="D8" s="618"/>
      <c r="E8" s="618"/>
      <c r="F8" s="618"/>
      <c r="G8" s="618"/>
      <c r="H8" s="618"/>
      <c r="I8" s="618"/>
      <c r="J8" s="618"/>
      <c r="K8" s="618"/>
      <c r="L8" s="618" t="s">
        <v>551</v>
      </c>
    </row>
    <row r="9" spans="1:12">
      <c r="A9" s="857" t="s">
        <v>7</v>
      </c>
      <c r="B9" s="857" t="s">
        <v>152</v>
      </c>
      <c r="C9" s="857" t="s">
        <v>10</v>
      </c>
      <c r="D9" s="857" t="s">
        <v>157</v>
      </c>
      <c r="E9" s="857" t="s">
        <v>12</v>
      </c>
      <c r="F9" s="854" t="s">
        <v>552</v>
      </c>
      <c r="G9" s="855"/>
      <c r="H9" s="855"/>
      <c r="I9" s="855"/>
      <c r="J9" s="855"/>
      <c r="K9" s="855"/>
      <c r="L9" s="856" t="s">
        <v>129</v>
      </c>
    </row>
    <row r="10" spans="1:12" ht="22.5" customHeight="1">
      <c r="A10" s="862"/>
      <c r="B10" s="862"/>
      <c r="C10" s="862"/>
      <c r="D10" s="862"/>
      <c r="E10" s="862"/>
      <c r="F10" s="857" t="s">
        <v>130</v>
      </c>
      <c r="G10" s="619" t="s">
        <v>133</v>
      </c>
      <c r="H10" s="619"/>
      <c r="I10" s="619"/>
      <c r="J10" s="620"/>
      <c r="K10" s="859" t="s">
        <v>131</v>
      </c>
      <c r="L10" s="856"/>
    </row>
    <row r="11" spans="1:12" ht="45">
      <c r="A11" s="858"/>
      <c r="B11" s="858"/>
      <c r="C11" s="858"/>
      <c r="D11" s="858"/>
      <c r="E11" s="858"/>
      <c r="F11" s="858"/>
      <c r="G11" s="621" t="s">
        <v>409</v>
      </c>
      <c r="H11" s="621" t="s">
        <v>452</v>
      </c>
      <c r="I11" s="621" t="s">
        <v>553</v>
      </c>
      <c r="J11" s="621" t="s">
        <v>135</v>
      </c>
      <c r="K11" s="860"/>
      <c r="L11" s="856"/>
    </row>
    <row r="12" spans="1:12">
      <c r="A12" s="622">
        <v>1</v>
      </c>
      <c r="B12" s="622">
        <v>2</v>
      </c>
      <c r="C12" s="622">
        <v>3</v>
      </c>
      <c r="D12" s="622">
        <v>4</v>
      </c>
      <c r="E12" s="622">
        <v>5</v>
      </c>
      <c r="F12" s="622">
        <v>6</v>
      </c>
      <c r="G12" s="622">
        <v>7</v>
      </c>
      <c r="H12" s="622">
        <v>8</v>
      </c>
      <c r="I12" s="622">
        <v>9</v>
      </c>
      <c r="J12" s="622">
        <v>10</v>
      </c>
      <c r="K12" s="622">
        <v>11</v>
      </c>
      <c r="L12" s="622">
        <v>12</v>
      </c>
    </row>
    <row r="13" spans="1:12">
      <c r="A13" s="623">
        <v>750</v>
      </c>
      <c r="B13" s="623"/>
      <c r="C13" s="624" t="s">
        <v>53</v>
      </c>
      <c r="D13" s="625">
        <f>D14</f>
        <v>1000</v>
      </c>
      <c r="E13" s="626">
        <f>E14</f>
        <v>382</v>
      </c>
      <c r="F13" s="626">
        <f>F14</f>
        <v>382</v>
      </c>
      <c r="G13" s="627"/>
      <c r="H13" s="627"/>
      <c r="I13" s="627"/>
      <c r="J13" s="627"/>
      <c r="K13" s="627"/>
      <c r="L13" s="628">
        <f>(F13+K13)/D13*100</f>
        <v>38.200000000000003</v>
      </c>
    </row>
    <row r="14" spans="1:12">
      <c r="A14" s="629"/>
      <c r="B14" s="630">
        <v>75045</v>
      </c>
      <c r="C14" s="631" t="s">
        <v>607</v>
      </c>
      <c r="D14" s="632">
        <v>1000</v>
      </c>
      <c r="E14" s="633">
        <v>382</v>
      </c>
      <c r="F14" s="633">
        <v>382</v>
      </c>
      <c r="G14" s="634"/>
      <c r="H14" s="635"/>
      <c r="I14" s="635"/>
      <c r="J14" s="635"/>
      <c r="K14" s="636"/>
      <c r="L14" s="637">
        <f>(F14+K14)/D14*100</f>
        <v>38.200000000000003</v>
      </c>
    </row>
    <row r="15" spans="1:12" s="3" customFormat="1">
      <c r="A15" s="623">
        <v>852</v>
      </c>
      <c r="B15" s="643"/>
      <c r="C15" s="624" t="s">
        <v>94</v>
      </c>
      <c r="D15" s="644">
        <f>D16</f>
        <v>56529</v>
      </c>
      <c r="E15" s="645">
        <f>E16</f>
        <v>56529</v>
      </c>
      <c r="F15" s="645">
        <f>F16</f>
        <v>56529</v>
      </c>
      <c r="G15" s="646">
        <f>G16</f>
        <v>12800</v>
      </c>
      <c r="H15" s="640"/>
      <c r="I15" s="640"/>
      <c r="J15" s="640"/>
      <c r="K15" s="640"/>
      <c r="L15" s="628"/>
    </row>
    <row r="16" spans="1:12">
      <c r="A16" s="629"/>
      <c r="B16" s="630">
        <v>85295</v>
      </c>
      <c r="C16" s="72" t="s">
        <v>88</v>
      </c>
      <c r="D16" s="641">
        <v>56529</v>
      </c>
      <c r="E16" s="642">
        <v>56529</v>
      </c>
      <c r="F16" s="642">
        <f>E16</f>
        <v>56529</v>
      </c>
      <c r="G16" s="647">
        <v>12800</v>
      </c>
      <c r="H16" s="636"/>
      <c r="I16" s="636"/>
      <c r="J16" s="636"/>
      <c r="K16" s="636"/>
      <c r="L16" s="637"/>
    </row>
    <row r="17" spans="1:12">
      <c r="A17" s="861" t="s">
        <v>111</v>
      </c>
      <c r="B17" s="861"/>
      <c r="C17" s="861"/>
      <c r="D17" s="638">
        <f>D13+D15</f>
        <v>57529</v>
      </c>
      <c r="E17" s="639">
        <f t="shared" ref="E17:K17" si="0">E13+E15</f>
        <v>56911</v>
      </c>
      <c r="F17" s="639">
        <f t="shared" si="0"/>
        <v>56911</v>
      </c>
      <c r="G17" s="639">
        <f t="shared" si="0"/>
        <v>12800</v>
      </c>
      <c r="H17" s="639">
        <f t="shared" si="0"/>
        <v>0</v>
      </c>
      <c r="I17" s="639">
        <f t="shared" si="0"/>
        <v>0</v>
      </c>
      <c r="J17" s="639">
        <f t="shared" si="0"/>
        <v>0</v>
      </c>
      <c r="K17" s="639">
        <f t="shared" si="0"/>
        <v>0</v>
      </c>
      <c r="L17" s="628">
        <f>(F17+K17)/D17*100</f>
        <v>98.925759182325436</v>
      </c>
    </row>
    <row r="18" spans="1:12">
      <c r="G18" s="354"/>
    </row>
  </sheetData>
  <mergeCells count="15">
    <mergeCell ref="F9:K9"/>
    <mergeCell ref="L9:L11"/>
    <mergeCell ref="F10:F11"/>
    <mergeCell ref="K10:K11"/>
    <mergeCell ref="A17:C17"/>
    <mergeCell ref="A9:A11"/>
    <mergeCell ref="B9:B11"/>
    <mergeCell ref="C9:C11"/>
    <mergeCell ref="D9:D11"/>
    <mergeCell ref="E9:E11"/>
    <mergeCell ref="I1:L1"/>
    <mergeCell ref="A3:L3"/>
    <mergeCell ref="A4:L4"/>
    <mergeCell ref="A5:L5"/>
    <mergeCell ref="A6:L6"/>
  </mergeCells>
  <pageMargins left="0.7" right="0.7" top="0.75" bottom="0.75" header="0.3" footer="0.3"/>
  <pageSetup paperSize="9" orientation="landscape" r:id="rId1"/>
  <headerFooter>
    <oddFooter>&amp;CZałącznik Nr 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24"/>
  <sheetViews>
    <sheetView view="pageLayout" workbookViewId="0">
      <selection activeCell="C17" sqref="C17"/>
    </sheetView>
  </sheetViews>
  <sheetFormatPr defaultColWidth="9" defaultRowHeight="12.75"/>
  <cols>
    <col min="1" max="1" width="5" style="227" customWidth="1"/>
    <col min="2" max="2" width="6.28515625" style="227" customWidth="1"/>
    <col min="3" max="3" width="29.140625" style="227" customWidth="1"/>
    <col min="4" max="4" width="12.85546875" style="227" customWidth="1"/>
    <col min="5" max="5" width="12.42578125" style="227" customWidth="1"/>
    <col min="6" max="6" width="13.28515625" style="227" customWidth="1"/>
    <col min="7" max="7" width="8.5703125" style="227" customWidth="1"/>
    <col min="8" max="8" width="9.5703125" style="227" customWidth="1"/>
    <col min="9" max="9" width="11.5703125" style="227" customWidth="1"/>
    <col min="10" max="10" width="8.5703125" style="227" customWidth="1"/>
    <col min="11" max="11" width="7" style="227" customWidth="1"/>
    <col min="12" max="12" width="8.28515625" style="227" customWidth="1"/>
    <col min="13" max="16384" width="9" style="227"/>
  </cols>
  <sheetData>
    <row r="1" spans="1:12">
      <c r="J1" s="826" t="s">
        <v>265</v>
      </c>
      <c r="K1" s="826"/>
      <c r="L1" s="826"/>
    </row>
    <row r="2" spans="1:12">
      <c r="J2" s="268"/>
    </row>
    <row r="3" spans="1:12">
      <c r="J3" s="268"/>
    </row>
    <row r="5" spans="1:12" ht="15.75">
      <c r="A5" s="863" t="s">
        <v>126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</row>
    <row r="6" spans="1:12" ht="16.5" customHeight="1">
      <c r="A6" s="864" t="s">
        <v>154</v>
      </c>
      <c r="B6" s="864"/>
      <c r="C6" s="864"/>
      <c r="D6" s="864"/>
      <c r="E6" s="864"/>
      <c r="F6" s="864"/>
      <c r="G6" s="864"/>
      <c r="H6" s="864"/>
      <c r="I6" s="864"/>
      <c r="J6" s="864"/>
      <c r="K6" s="864"/>
      <c r="L6" s="864"/>
    </row>
    <row r="7" spans="1:12" ht="15.75">
      <c r="A7" s="863" t="s">
        <v>525</v>
      </c>
      <c r="B7" s="863"/>
      <c r="C7" s="863"/>
      <c r="D7" s="863"/>
      <c r="E7" s="863"/>
      <c r="F7" s="863"/>
      <c r="G7" s="863"/>
      <c r="H7" s="863"/>
      <c r="I7" s="863"/>
      <c r="J7" s="863"/>
      <c r="K7" s="863"/>
      <c r="L7" s="863"/>
    </row>
    <row r="8" spans="1:12">
      <c r="K8" s="269"/>
    </row>
    <row r="9" spans="1:12">
      <c r="G9" s="275"/>
      <c r="H9" s="275"/>
      <c r="J9" s="275"/>
      <c r="K9" s="275"/>
    </row>
    <row r="10" spans="1:12">
      <c r="A10" s="618" t="s">
        <v>550</v>
      </c>
      <c r="B10" s="618"/>
      <c r="C10" s="618"/>
      <c r="D10" s="618"/>
      <c r="E10" s="618"/>
      <c r="F10" s="618"/>
      <c r="G10" s="618"/>
      <c r="H10" s="618"/>
      <c r="I10" s="618"/>
      <c r="J10" s="618"/>
      <c r="K10" s="618" t="s">
        <v>554</v>
      </c>
      <c r="L10"/>
    </row>
    <row r="11" spans="1:12">
      <c r="A11" s="857" t="s">
        <v>7</v>
      </c>
      <c r="B11" s="857" t="s">
        <v>152</v>
      </c>
      <c r="C11" s="857" t="s">
        <v>10</v>
      </c>
      <c r="D11" s="857" t="s">
        <v>157</v>
      </c>
      <c r="E11" s="857" t="s">
        <v>12</v>
      </c>
      <c r="F11" s="854" t="s">
        <v>552</v>
      </c>
      <c r="G11" s="855"/>
      <c r="H11" s="855"/>
      <c r="I11" s="855"/>
      <c r="J11" s="855"/>
      <c r="K11" s="855"/>
      <c r="L11" s="856" t="s">
        <v>129</v>
      </c>
    </row>
    <row r="12" spans="1:12">
      <c r="A12" s="862"/>
      <c r="B12" s="862"/>
      <c r="C12" s="862"/>
      <c r="D12" s="862"/>
      <c r="E12" s="862"/>
      <c r="F12" s="865" t="s">
        <v>130</v>
      </c>
      <c r="G12" s="619" t="s">
        <v>133</v>
      </c>
      <c r="H12" s="619"/>
      <c r="I12" s="619"/>
      <c r="J12" s="620"/>
      <c r="K12" s="859" t="s">
        <v>131</v>
      </c>
      <c r="L12" s="856"/>
    </row>
    <row r="13" spans="1:12" ht="48">
      <c r="A13" s="858"/>
      <c r="B13" s="858"/>
      <c r="C13" s="858"/>
      <c r="D13" s="858"/>
      <c r="E13" s="858"/>
      <c r="F13" s="866"/>
      <c r="G13" s="648" t="s">
        <v>409</v>
      </c>
      <c r="H13" s="648" t="s">
        <v>452</v>
      </c>
      <c r="I13" s="648" t="s">
        <v>553</v>
      </c>
      <c r="J13" s="621" t="s">
        <v>135</v>
      </c>
      <c r="K13" s="860"/>
      <c r="L13" s="856"/>
    </row>
    <row r="14" spans="1:12">
      <c r="A14" s="622">
        <v>1</v>
      </c>
      <c r="B14" s="622">
        <v>2</v>
      </c>
      <c r="C14" s="622">
        <v>3</v>
      </c>
      <c r="D14" s="622">
        <v>4</v>
      </c>
      <c r="E14" s="622">
        <v>5</v>
      </c>
      <c r="F14" s="622">
        <v>6</v>
      </c>
      <c r="G14" s="622">
        <v>7</v>
      </c>
      <c r="H14" s="622">
        <v>8</v>
      </c>
      <c r="I14" s="622">
        <v>9</v>
      </c>
      <c r="J14" s="622">
        <v>10</v>
      </c>
      <c r="K14" s="622">
        <v>11</v>
      </c>
      <c r="L14" s="622">
        <v>12</v>
      </c>
    </row>
    <row r="15" spans="1:12" ht="24">
      <c r="A15" s="236">
        <v>754</v>
      </c>
      <c r="B15" s="649"/>
      <c r="C15" s="650" t="s">
        <v>63</v>
      </c>
      <c r="D15" s="652">
        <f>D16</f>
        <v>8854.08</v>
      </c>
      <c r="E15" s="652">
        <f>E16</f>
        <v>8854.08</v>
      </c>
      <c r="F15" s="652">
        <f>F16</f>
        <v>8854.08</v>
      </c>
      <c r="G15" s="652"/>
      <c r="H15" s="651"/>
      <c r="I15" s="651">
        <v>0</v>
      </c>
      <c r="J15" s="651"/>
      <c r="K15" s="651"/>
      <c r="L15" s="653">
        <f t="shared" ref="L15:L24" si="0">(F15+K15)/D15*100</f>
        <v>100</v>
      </c>
    </row>
    <row r="16" spans="1:12">
      <c r="A16" s="585"/>
      <c r="B16" s="654">
        <v>75421</v>
      </c>
      <c r="C16" s="148" t="s">
        <v>403</v>
      </c>
      <c r="D16" s="655">
        <v>8854.08</v>
      </c>
      <c r="E16" s="655">
        <v>8854.08</v>
      </c>
      <c r="F16" s="655">
        <v>8854.08</v>
      </c>
      <c r="G16" s="656"/>
      <c r="H16" s="657"/>
      <c r="I16" s="658">
        <v>0</v>
      </c>
      <c r="J16" s="657"/>
      <c r="K16" s="657"/>
      <c r="L16" s="659">
        <f t="shared" si="0"/>
        <v>100</v>
      </c>
    </row>
    <row r="17" spans="1:12" ht="24.75" customHeight="1">
      <c r="A17" s="236">
        <v>853</v>
      </c>
      <c r="B17" s="649"/>
      <c r="C17" s="955" t="s">
        <v>102</v>
      </c>
      <c r="D17" s="661">
        <f>D18</f>
        <v>557101.80000000005</v>
      </c>
      <c r="E17" s="661">
        <f>E18</f>
        <v>557098.68000000005</v>
      </c>
      <c r="F17" s="661">
        <f>F18</f>
        <v>557098.68000000005</v>
      </c>
      <c r="G17" s="661"/>
      <c r="H17" s="660"/>
      <c r="I17" s="661">
        <f>I18</f>
        <v>557098.68000000005</v>
      </c>
      <c r="J17" s="660"/>
      <c r="K17" s="660"/>
      <c r="L17" s="653">
        <f t="shared" si="0"/>
        <v>99.999439958729269</v>
      </c>
    </row>
    <row r="18" spans="1:12">
      <c r="A18" s="582"/>
      <c r="B18" s="662">
        <v>85395</v>
      </c>
      <c r="C18" s="586" t="s">
        <v>88</v>
      </c>
      <c r="D18" s="664">
        <v>557101.80000000005</v>
      </c>
      <c r="E18" s="664">
        <v>557098.68000000005</v>
      </c>
      <c r="F18" s="666">
        <f>E18</f>
        <v>557098.68000000005</v>
      </c>
      <c r="G18" s="664"/>
      <c r="H18" s="663"/>
      <c r="I18" s="664">
        <f>F18</f>
        <v>557098.68000000005</v>
      </c>
      <c r="J18" s="663"/>
      <c r="K18" s="663"/>
      <c r="L18" s="659">
        <f t="shared" si="0"/>
        <v>99.999439958729269</v>
      </c>
    </row>
    <row r="19" spans="1:12" ht="24">
      <c r="A19" s="236">
        <v>921</v>
      </c>
      <c r="B19" s="236"/>
      <c r="C19" s="650" t="s">
        <v>143</v>
      </c>
      <c r="D19" s="661">
        <f>D20</f>
        <v>20000</v>
      </c>
      <c r="E19" s="661">
        <f>E20</f>
        <v>20000</v>
      </c>
      <c r="F19" s="661">
        <f>F20</f>
        <v>20000</v>
      </c>
      <c r="G19" s="661"/>
      <c r="H19" s="660"/>
      <c r="I19" s="661">
        <f>I20</f>
        <v>20000</v>
      </c>
      <c r="J19" s="660"/>
      <c r="K19" s="660"/>
      <c r="L19" s="653">
        <f t="shared" si="0"/>
        <v>100</v>
      </c>
    </row>
    <row r="20" spans="1:12">
      <c r="A20" s="582"/>
      <c r="B20" s="665">
        <v>92105</v>
      </c>
      <c r="C20" s="148" t="s">
        <v>144</v>
      </c>
      <c r="D20" s="664">
        <v>20000</v>
      </c>
      <c r="E20" s="664">
        <v>20000</v>
      </c>
      <c r="F20" s="664">
        <v>20000</v>
      </c>
      <c r="G20" s="664"/>
      <c r="H20" s="663"/>
      <c r="I20" s="664">
        <v>20000</v>
      </c>
      <c r="J20" s="663"/>
      <c r="K20" s="663"/>
      <c r="L20" s="659">
        <f t="shared" si="0"/>
        <v>100</v>
      </c>
    </row>
    <row r="21" spans="1:12">
      <c r="A21" s="236">
        <v>926</v>
      </c>
      <c r="B21" s="649"/>
      <c r="C21" s="650" t="s">
        <v>145</v>
      </c>
      <c r="D21" s="661">
        <f>D23+D22</f>
        <v>679571</v>
      </c>
      <c r="E21" s="661">
        <f t="shared" ref="E21:K21" si="1">E23+E22</f>
        <v>6500</v>
      </c>
      <c r="F21" s="661">
        <f t="shared" si="1"/>
        <v>6500</v>
      </c>
      <c r="G21" s="661">
        <f t="shared" si="1"/>
        <v>0</v>
      </c>
      <c r="H21" s="661">
        <f t="shared" si="1"/>
        <v>0</v>
      </c>
      <c r="I21" s="661">
        <f t="shared" si="1"/>
        <v>6500</v>
      </c>
      <c r="J21" s="661">
        <f t="shared" si="1"/>
        <v>0</v>
      </c>
      <c r="K21" s="661">
        <f t="shared" si="1"/>
        <v>0</v>
      </c>
      <c r="L21" s="653">
        <f t="shared" si="0"/>
        <v>0.95648578294247399</v>
      </c>
    </row>
    <row r="22" spans="1:12">
      <c r="A22" s="584"/>
      <c r="B22" s="654">
        <v>92601</v>
      </c>
      <c r="C22" s="148" t="s">
        <v>341</v>
      </c>
      <c r="D22" s="664">
        <v>673071</v>
      </c>
      <c r="E22" s="664"/>
      <c r="F22" s="661"/>
      <c r="G22" s="661"/>
      <c r="H22" s="660"/>
      <c r="I22" s="661"/>
      <c r="J22" s="660"/>
      <c r="K22" s="660"/>
      <c r="L22" s="653"/>
    </row>
    <row r="23" spans="1:12" ht="24">
      <c r="A23" s="582"/>
      <c r="B23" s="654">
        <v>92605</v>
      </c>
      <c r="C23" s="148" t="s">
        <v>146</v>
      </c>
      <c r="D23" s="664">
        <v>6500</v>
      </c>
      <c r="E23" s="664">
        <v>6500</v>
      </c>
      <c r="F23" s="664">
        <v>6500</v>
      </c>
      <c r="G23" s="664"/>
      <c r="H23" s="663"/>
      <c r="I23" s="664">
        <v>6500</v>
      </c>
      <c r="J23" s="663"/>
      <c r="K23" s="663"/>
      <c r="L23" s="659">
        <f t="shared" si="0"/>
        <v>100</v>
      </c>
    </row>
    <row r="24" spans="1:12">
      <c r="A24" s="796" t="s">
        <v>111</v>
      </c>
      <c r="B24" s="796"/>
      <c r="C24" s="796"/>
      <c r="D24" s="661">
        <f>D17+D19+D21+D15</f>
        <v>1265526.8800000001</v>
      </c>
      <c r="E24" s="661">
        <f t="shared" ref="E24:K24" si="2">E17+E19+E21+E15</f>
        <v>592452.76</v>
      </c>
      <c r="F24" s="661">
        <f t="shared" si="2"/>
        <v>592452.76</v>
      </c>
      <c r="G24" s="661">
        <f t="shared" si="2"/>
        <v>0</v>
      </c>
      <c r="H24" s="661">
        <f t="shared" si="2"/>
        <v>0</v>
      </c>
      <c r="I24" s="661">
        <f t="shared" si="2"/>
        <v>583598.68000000005</v>
      </c>
      <c r="J24" s="661">
        <f t="shared" si="2"/>
        <v>0</v>
      </c>
      <c r="K24" s="661">
        <f t="shared" si="2"/>
        <v>0</v>
      </c>
      <c r="L24" s="659">
        <f t="shared" si="0"/>
        <v>46.814711671710988</v>
      </c>
    </row>
  </sheetData>
  <mergeCells count="14">
    <mergeCell ref="A24:C24"/>
    <mergeCell ref="A11:A13"/>
    <mergeCell ref="B11:B13"/>
    <mergeCell ref="C11:C13"/>
    <mergeCell ref="D11:D13"/>
    <mergeCell ref="L11:L13"/>
    <mergeCell ref="J1:L1"/>
    <mergeCell ref="A5:L5"/>
    <mergeCell ref="A6:L6"/>
    <mergeCell ref="A7:L7"/>
    <mergeCell ref="F12:F13"/>
    <mergeCell ref="K12:K13"/>
    <mergeCell ref="E11:E13"/>
    <mergeCell ref="F11:K11"/>
  </mergeCells>
  <pageMargins left="0.7" right="0.7" top="0.75" bottom="0.75" header="0.3" footer="0.3"/>
  <pageSetup paperSize="9" orientation="landscape" r:id="rId1"/>
  <headerFooter>
    <oddFooter>&amp;CZałącznik Nr 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G927"/>
  <sheetViews>
    <sheetView view="pageLayout" topLeftCell="A907" workbookViewId="0">
      <selection activeCell="D919" sqref="D919"/>
    </sheetView>
  </sheetViews>
  <sheetFormatPr defaultColWidth="9" defaultRowHeight="12.75"/>
  <cols>
    <col min="1" max="1" width="4.7109375" customWidth="1"/>
    <col min="2" max="2" width="5.5703125" customWidth="1"/>
    <col min="3" max="3" width="5.28515625" customWidth="1"/>
    <col min="4" max="4" width="35.140625" style="7" customWidth="1"/>
    <col min="5" max="5" width="14" style="472" bestFit="1" customWidth="1"/>
    <col min="6" max="6" width="13.5703125" customWidth="1"/>
    <col min="7" max="7" width="8" customWidth="1"/>
  </cols>
  <sheetData>
    <row r="1" spans="1:7">
      <c r="F1" s="879" t="s">
        <v>615</v>
      </c>
      <c r="G1" s="879"/>
    </row>
    <row r="2" spans="1:7" ht="15.75">
      <c r="A2" s="849" t="s">
        <v>155</v>
      </c>
      <c r="B2" s="849"/>
      <c r="C2" s="849"/>
      <c r="D2" s="849"/>
      <c r="E2" s="849"/>
      <c r="F2" s="849"/>
      <c r="G2" s="849"/>
    </row>
    <row r="3" spans="1:7" ht="15.75">
      <c r="A3" s="849" t="s">
        <v>517</v>
      </c>
      <c r="B3" s="849"/>
      <c r="C3" s="849"/>
      <c r="D3" s="849"/>
      <c r="E3" s="849"/>
      <c r="F3" s="849"/>
      <c r="G3" s="849"/>
    </row>
    <row r="4" spans="1:7">
      <c r="D4" s="249"/>
      <c r="E4" s="473"/>
      <c r="F4" s="25"/>
      <c r="G4" t="s">
        <v>6</v>
      </c>
    </row>
    <row r="5" spans="1:7">
      <c r="A5" s="744" t="s">
        <v>7</v>
      </c>
      <c r="B5" s="880" t="s">
        <v>152</v>
      </c>
      <c r="C5" s="744" t="s">
        <v>9</v>
      </c>
      <c r="D5" s="744" t="s">
        <v>156</v>
      </c>
      <c r="E5" s="887" t="s">
        <v>157</v>
      </c>
      <c r="F5" s="888" t="s">
        <v>158</v>
      </c>
      <c r="G5" s="882" t="s">
        <v>159</v>
      </c>
    </row>
    <row r="6" spans="1:7">
      <c r="A6" s="744"/>
      <c r="B6" s="744"/>
      <c r="C6" s="744"/>
      <c r="D6" s="744"/>
      <c r="E6" s="887"/>
      <c r="F6" s="888"/>
      <c r="G6" s="882"/>
    </row>
    <row r="7" spans="1:7">
      <c r="A7" s="66">
        <v>1</v>
      </c>
      <c r="B7" s="66">
        <v>2</v>
      </c>
      <c r="C7" s="66">
        <v>3</v>
      </c>
      <c r="D7" s="126">
        <v>4</v>
      </c>
      <c r="E7" s="474">
        <v>5</v>
      </c>
      <c r="F7" s="160" t="s">
        <v>160</v>
      </c>
      <c r="G7" s="66">
        <v>7</v>
      </c>
    </row>
    <row r="8" spans="1:7">
      <c r="A8" s="161" t="s">
        <v>14</v>
      </c>
      <c r="B8" s="161"/>
      <c r="C8" s="161"/>
      <c r="D8" s="162" t="s">
        <v>15</v>
      </c>
      <c r="E8" s="206">
        <f>E9+E11+E13</f>
        <v>92555</v>
      </c>
      <c r="F8" s="163">
        <f>F9+F11+F13</f>
        <v>92455</v>
      </c>
      <c r="G8" s="164">
        <f t="shared" ref="G8:G115" si="0">F8*100/E8</f>
        <v>99.89195613419048</v>
      </c>
    </row>
    <row r="9" spans="1:7" ht="13.5" customHeight="1">
      <c r="A9" s="748"/>
      <c r="B9" s="165" t="s">
        <v>17</v>
      </c>
      <c r="C9" s="165"/>
      <c r="D9" s="166" t="s">
        <v>18</v>
      </c>
      <c r="E9" s="182">
        <f>E10</f>
        <v>84000</v>
      </c>
      <c r="F9" s="167">
        <f>F10</f>
        <v>84000</v>
      </c>
      <c r="G9" s="168">
        <f t="shared" si="0"/>
        <v>100</v>
      </c>
    </row>
    <row r="10" spans="1:7">
      <c r="A10" s="749"/>
      <c r="B10" s="151"/>
      <c r="C10" s="151">
        <v>4300</v>
      </c>
      <c r="D10" s="169" t="s">
        <v>161</v>
      </c>
      <c r="E10" s="187">
        <v>84000</v>
      </c>
      <c r="F10" s="170">
        <v>84000</v>
      </c>
      <c r="G10" s="171">
        <f t="shared" si="0"/>
        <v>100</v>
      </c>
    </row>
    <row r="11" spans="1:7">
      <c r="A11" s="749"/>
      <c r="B11" s="165" t="s">
        <v>20</v>
      </c>
      <c r="C11" s="165"/>
      <c r="D11" s="172" t="s">
        <v>21</v>
      </c>
      <c r="E11" s="182">
        <f>E12</f>
        <v>100</v>
      </c>
      <c r="F11" s="167">
        <f>F12</f>
        <v>0</v>
      </c>
      <c r="G11" s="168">
        <f t="shared" si="0"/>
        <v>0</v>
      </c>
    </row>
    <row r="12" spans="1:7">
      <c r="A12" s="749"/>
      <c r="B12" s="151"/>
      <c r="C12" s="151">
        <v>4610</v>
      </c>
      <c r="D12" s="169" t="s">
        <v>162</v>
      </c>
      <c r="E12" s="187">
        <v>100</v>
      </c>
      <c r="F12" s="170">
        <v>0</v>
      </c>
      <c r="G12" s="171">
        <f t="shared" si="0"/>
        <v>0</v>
      </c>
    </row>
    <row r="13" spans="1:7">
      <c r="A13" s="749"/>
      <c r="B13" s="242" t="s">
        <v>324</v>
      </c>
      <c r="C13" s="165"/>
      <c r="D13" s="172" t="s">
        <v>88</v>
      </c>
      <c r="E13" s="182">
        <f>E14</f>
        <v>8455</v>
      </c>
      <c r="F13" s="167">
        <f>F14</f>
        <v>8455</v>
      </c>
      <c r="G13" s="168">
        <f t="shared" si="0"/>
        <v>100</v>
      </c>
    </row>
    <row r="14" spans="1:7">
      <c r="A14" s="750"/>
      <c r="B14" s="151"/>
      <c r="C14" s="151">
        <v>4480</v>
      </c>
      <c r="D14" s="173" t="s">
        <v>178</v>
      </c>
      <c r="E14" s="187">
        <v>8455</v>
      </c>
      <c r="F14" s="170">
        <v>8455</v>
      </c>
      <c r="G14" s="171">
        <f t="shared" si="0"/>
        <v>100</v>
      </c>
    </row>
    <row r="15" spans="1:7">
      <c r="A15" s="161" t="s">
        <v>23</v>
      </c>
      <c r="B15" s="161"/>
      <c r="C15" s="161"/>
      <c r="D15" s="162" t="s">
        <v>24</v>
      </c>
      <c r="E15" s="206">
        <f>E16+E18+E22</f>
        <v>301983</v>
      </c>
      <c r="F15" s="163">
        <f>F16+F18+F22</f>
        <v>270994.79000000004</v>
      </c>
      <c r="G15" s="164">
        <f t="shared" si="0"/>
        <v>89.738425672968361</v>
      </c>
    </row>
    <row r="16" spans="1:7">
      <c r="A16" s="748"/>
      <c r="B16" s="165" t="s">
        <v>25</v>
      </c>
      <c r="C16" s="165"/>
      <c r="D16" s="172" t="s">
        <v>26</v>
      </c>
      <c r="E16" s="182">
        <f>E17</f>
        <v>252000</v>
      </c>
      <c r="F16" s="167">
        <f>F17</f>
        <v>245223.53</v>
      </c>
      <c r="G16" s="168">
        <f t="shared" si="0"/>
        <v>97.310924603174598</v>
      </c>
    </row>
    <row r="17" spans="1:7">
      <c r="A17" s="749"/>
      <c r="B17" s="165"/>
      <c r="C17" s="151">
        <v>3030</v>
      </c>
      <c r="D17" s="169" t="s">
        <v>163</v>
      </c>
      <c r="E17" s="187">
        <v>252000</v>
      </c>
      <c r="F17" s="170">
        <v>245223.53</v>
      </c>
      <c r="G17" s="171">
        <f t="shared" si="0"/>
        <v>97.310924603174598</v>
      </c>
    </row>
    <row r="18" spans="1:7">
      <c r="A18" s="749"/>
      <c r="B18" s="165" t="s">
        <v>30</v>
      </c>
      <c r="C18" s="165"/>
      <c r="D18" s="172" t="s">
        <v>136</v>
      </c>
      <c r="E18" s="182">
        <f>E20+E21+E19</f>
        <v>49953</v>
      </c>
      <c r="F18" s="167">
        <f>F20+F21+F19</f>
        <v>25742.06</v>
      </c>
      <c r="G18" s="168">
        <f t="shared" si="0"/>
        <v>51.532560606970556</v>
      </c>
    </row>
    <row r="19" spans="1:7">
      <c r="A19" s="749"/>
      <c r="B19" s="867"/>
      <c r="C19" s="461">
        <v>4210</v>
      </c>
      <c r="D19" s="169" t="s">
        <v>171</v>
      </c>
      <c r="E19" s="187">
        <v>454</v>
      </c>
      <c r="F19" s="170">
        <v>453.84</v>
      </c>
      <c r="G19" s="171">
        <f t="shared" si="0"/>
        <v>99.964757709251103</v>
      </c>
    </row>
    <row r="20" spans="1:7">
      <c r="A20" s="749"/>
      <c r="B20" s="868"/>
      <c r="C20" s="151">
        <v>4300</v>
      </c>
      <c r="D20" s="169" t="s">
        <v>161</v>
      </c>
      <c r="E20" s="187">
        <v>46261</v>
      </c>
      <c r="F20" s="170">
        <v>22051</v>
      </c>
      <c r="G20" s="171">
        <f t="shared" si="0"/>
        <v>47.666500940316901</v>
      </c>
    </row>
    <row r="21" spans="1:7">
      <c r="A21" s="749"/>
      <c r="B21" s="869"/>
      <c r="C21" s="151">
        <v>4530</v>
      </c>
      <c r="D21" s="169" t="s">
        <v>164</v>
      </c>
      <c r="E21" s="187">
        <v>3238</v>
      </c>
      <c r="F21" s="170">
        <v>3237.22</v>
      </c>
      <c r="G21" s="171">
        <f t="shared" si="0"/>
        <v>99.975911056207536</v>
      </c>
    </row>
    <row r="22" spans="1:7">
      <c r="A22" s="749"/>
      <c r="B22" s="242" t="s">
        <v>514</v>
      </c>
      <c r="C22" s="461"/>
      <c r="D22" s="172" t="s">
        <v>88</v>
      </c>
      <c r="E22" s="182">
        <f>E23</f>
        <v>30</v>
      </c>
      <c r="F22" s="167">
        <f>F23</f>
        <v>29.2</v>
      </c>
      <c r="G22" s="168">
        <f t="shared" si="0"/>
        <v>97.333333333333329</v>
      </c>
    </row>
    <row r="23" spans="1:7" ht="24">
      <c r="A23" s="750"/>
      <c r="B23" s="465"/>
      <c r="C23" s="461">
        <v>4500</v>
      </c>
      <c r="D23" s="216" t="s">
        <v>384</v>
      </c>
      <c r="E23" s="187">
        <v>30</v>
      </c>
      <c r="F23" s="170">
        <v>29.2</v>
      </c>
      <c r="G23" s="171">
        <f t="shared" si="0"/>
        <v>97.333333333333329</v>
      </c>
    </row>
    <row r="24" spans="1:7">
      <c r="A24" s="161">
        <v>150</v>
      </c>
      <c r="B24" s="161"/>
      <c r="C24" s="161"/>
      <c r="D24" s="162" t="s">
        <v>33</v>
      </c>
      <c r="E24" s="206">
        <f>E25</f>
        <v>38307</v>
      </c>
      <c r="F24" s="163">
        <f>F25</f>
        <v>37726.060000000005</v>
      </c>
      <c r="G24" s="164">
        <f t="shared" si="0"/>
        <v>98.483462552536096</v>
      </c>
    </row>
    <row r="25" spans="1:7">
      <c r="A25" s="873"/>
      <c r="B25" s="165">
        <v>15011</v>
      </c>
      <c r="C25" s="165"/>
      <c r="D25" s="172" t="s">
        <v>34</v>
      </c>
      <c r="E25" s="182">
        <f>SUM(E26:E33)</f>
        <v>38307</v>
      </c>
      <c r="F25" s="167">
        <f>SUM(F26:F33)</f>
        <v>37726.060000000005</v>
      </c>
      <c r="G25" s="168">
        <f t="shared" si="0"/>
        <v>98.483462552536096</v>
      </c>
    </row>
    <row r="26" spans="1:7">
      <c r="A26" s="873"/>
      <c r="B26" s="873"/>
      <c r="C26" s="151">
        <v>4010</v>
      </c>
      <c r="D26" s="169" t="s">
        <v>167</v>
      </c>
      <c r="E26" s="187">
        <v>15938</v>
      </c>
      <c r="F26" s="170">
        <v>15937.86</v>
      </c>
      <c r="G26" s="171">
        <f t="shared" si="0"/>
        <v>99.999121596185219</v>
      </c>
    </row>
    <row r="27" spans="1:7">
      <c r="A27" s="873"/>
      <c r="B27" s="873"/>
      <c r="C27" s="461">
        <v>4040</v>
      </c>
      <c r="D27" s="169" t="s">
        <v>168</v>
      </c>
      <c r="E27" s="187">
        <v>1974</v>
      </c>
      <c r="F27" s="170">
        <v>1973.6</v>
      </c>
      <c r="G27" s="171">
        <f t="shared" si="0"/>
        <v>99.979736575481255</v>
      </c>
    </row>
    <row r="28" spans="1:7">
      <c r="A28" s="873"/>
      <c r="B28" s="873"/>
      <c r="C28" s="151">
        <v>4110</v>
      </c>
      <c r="D28" s="169" t="s">
        <v>169</v>
      </c>
      <c r="E28" s="187">
        <v>4010</v>
      </c>
      <c r="F28" s="170">
        <v>3571.45</v>
      </c>
      <c r="G28" s="171">
        <f t="shared" si="0"/>
        <v>89.063591022443887</v>
      </c>
    </row>
    <row r="29" spans="1:7">
      <c r="A29" s="873"/>
      <c r="B29" s="873"/>
      <c r="C29" s="151">
        <v>4120</v>
      </c>
      <c r="D29" s="169" t="s">
        <v>191</v>
      </c>
      <c r="E29" s="187">
        <v>651</v>
      </c>
      <c r="F29" s="170">
        <v>510.71</v>
      </c>
      <c r="G29" s="171">
        <f t="shared" si="0"/>
        <v>78.450076804915511</v>
      </c>
    </row>
    <row r="30" spans="1:7">
      <c r="A30" s="873"/>
      <c r="B30" s="873"/>
      <c r="C30" s="461">
        <v>4170</v>
      </c>
      <c r="D30" s="169" t="s">
        <v>170</v>
      </c>
      <c r="E30" s="187">
        <v>6900</v>
      </c>
      <c r="F30" s="170">
        <v>6900</v>
      </c>
      <c r="G30" s="171">
        <f t="shared" si="0"/>
        <v>100</v>
      </c>
    </row>
    <row r="31" spans="1:7">
      <c r="A31" s="873"/>
      <c r="B31" s="873"/>
      <c r="C31" s="151">
        <v>4210</v>
      </c>
      <c r="D31" s="169" t="s">
        <v>171</v>
      </c>
      <c r="E31" s="187">
        <v>4474</v>
      </c>
      <c r="F31" s="170">
        <v>4473.07</v>
      </c>
      <c r="G31" s="171">
        <f t="shared" si="0"/>
        <v>99.979213232007154</v>
      </c>
    </row>
    <row r="32" spans="1:7">
      <c r="A32" s="873"/>
      <c r="B32" s="873"/>
      <c r="C32" s="151">
        <v>4300</v>
      </c>
      <c r="D32" s="169" t="s">
        <v>161</v>
      </c>
      <c r="E32" s="187">
        <v>3526</v>
      </c>
      <c r="F32" s="170">
        <v>3526</v>
      </c>
      <c r="G32" s="171">
        <f t="shared" si="0"/>
        <v>100</v>
      </c>
    </row>
    <row r="33" spans="1:7">
      <c r="A33" s="873"/>
      <c r="B33" s="873"/>
      <c r="C33" s="151">
        <v>4440</v>
      </c>
      <c r="D33" s="169" t="s">
        <v>363</v>
      </c>
      <c r="E33" s="187">
        <v>834</v>
      </c>
      <c r="F33" s="170">
        <v>833.37</v>
      </c>
      <c r="G33" s="171">
        <f t="shared" si="0"/>
        <v>99.92446043165468</v>
      </c>
    </row>
    <row r="34" spans="1:7">
      <c r="A34" s="161">
        <v>600</v>
      </c>
      <c r="B34" s="161"/>
      <c r="C34" s="161"/>
      <c r="D34" s="162" t="s">
        <v>36</v>
      </c>
      <c r="E34" s="206">
        <f>E35+E66</f>
        <v>7123458</v>
      </c>
      <c r="F34" s="206">
        <f>F35+F66</f>
        <v>7108572.2199999988</v>
      </c>
      <c r="G34" s="164">
        <f t="shared" si="0"/>
        <v>99.791031546757196</v>
      </c>
    </row>
    <row r="35" spans="1:7">
      <c r="A35" s="867"/>
      <c r="B35" s="165">
        <v>60014</v>
      </c>
      <c r="C35" s="165"/>
      <c r="D35" s="172" t="s">
        <v>37</v>
      </c>
      <c r="E35" s="182">
        <f>E36+E61</f>
        <v>6921506</v>
      </c>
      <c r="F35" s="167">
        <f>F36+F61</f>
        <v>6906620.2199999988</v>
      </c>
      <c r="G35" s="168">
        <f t="shared" si="0"/>
        <v>99.78493437699828</v>
      </c>
    </row>
    <row r="36" spans="1:7">
      <c r="A36" s="868"/>
      <c r="B36" s="867"/>
      <c r="C36" s="165"/>
      <c r="D36" s="177" t="s">
        <v>416</v>
      </c>
      <c r="E36" s="230">
        <f>SUM(E37:E60)</f>
        <v>6598725</v>
      </c>
      <c r="F36" s="178">
        <f>SUM(F37:F60)</f>
        <v>6598336.5699999984</v>
      </c>
      <c r="G36" s="183">
        <f t="shared" si="0"/>
        <v>99.994113559816455</v>
      </c>
    </row>
    <row r="37" spans="1:7">
      <c r="A37" s="868"/>
      <c r="B37" s="868"/>
      <c r="C37" s="151">
        <v>3020</v>
      </c>
      <c r="D37" s="169" t="s">
        <v>166</v>
      </c>
      <c r="E37" s="187">
        <v>17603</v>
      </c>
      <c r="F37" s="170">
        <v>17600.77</v>
      </c>
      <c r="G37" s="171">
        <f t="shared" si="0"/>
        <v>99.987331704823035</v>
      </c>
    </row>
    <row r="38" spans="1:7">
      <c r="A38" s="868"/>
      <c r="B38" s="868"/>
      <c r="C38" s="151">
        <v>4010</v>
      </c>
      <c r="D38" s="169" t="s">
        <v>167</v>
      </c>
      <c r="E38" s="187">
        <v>578636</v>
      </c>
      <c r="F38" s="170">
        <v>578635.24</v>
      </c>
      <c r="G38" s="171">
        <f t="shared" si="0"/>
        <v>99.999868656633879</v>
      </c>
    </row>
    <row r="39" spans="1:7">
      <c r="A39" s="868"/>
      <c r="B39" s="868"/>
      <c r="C39" s="151">
        <v>4040</v>
      </c>
      <c r="D39" s="169" t="s">
        <v>168</v>
      </c>
      <c r="E39" s="187">
        <v>40943</v>
      </c>
      <c r="F39" s="170">
        <v>40942.36</v>
      </c>
      <c r="G39" s="171">
        <f t="shared" si="0"/>
        <v>99.998436851232199</v>
      </c>
    </row>
    <row r="40" spans="1:7">
      <c r="A40" s="868"/>
      <c r="B40" s="868"/>
      <c r="C40" s="151">
        <v>4110</v>
      </c>
      <c r="D40" s="169" t="s">
        <v>169</v>
      </c>
      <c r="E40" s="187">
        <v>92445</v>
      </c>
      <c r="F40" s="170">
        <v>92439.5</v>
      </c>
      <c r="G40" s="171">
        <f t="shared" si="0"/>
        <v>99.994050516523345</v>
      </c>
    </row>
    <row r="41" spans="1:7">
      <c r="A41" s="868"/>
      <c r="B41" s="868"/>
      <c r="C41" s="151">
        <v>4120</v>
      </c>
      <c r="D41" s="169" t="s">
        <v>191</v>
      </c>
      <c r="E41" s="187">
        <v>13468</v>
      </c>
      <c r="F41" s="170">
        <v>13467.33</v>
      </c>
      <c r="G41" s="171">
        <f t="shared" si="0"/>
        <v>99.995025245025246</v>
      </c>
    </row>
    <row r="42" spans="1:7">
      <c r="A42" s="868"/>
      <c r="B42" s="868"/>
      <c r="C42" s="151">
        <v>4170</v>
      </c>
      <c r="D42" s="169" t="s">
        <v>170</v>
      </c>
      <c r="E42" s="187">
        <v>1294</v>
      </c>
      <c r="F42" s="170">
        <v>1293.28</v>
      </c>
      <c r="G42" s="171">
        <f t="shared" si="0"/>
        <v>99.944358578052544</v>
      </c>
    </row>
    <row r="43" spans="1:7">
      <c r="A43" s="868"/>
      <c r="B43" s="868"/>
      <c r="C43" s="151">
        <v>4210</v>
      </c>
      <c r="D43" s="169" t="s">
        <v>171</v>
      </c>
      <c r="E43" s="187">
        <v>481202</v>
      </c>
      <c r="F43" s="170">
        <v>481195.4</v>
      </c>
      <c r="G43" s="171">
        <f t="shared" si="0"/>
        <v>99.998628434628287</v>
      </c>
    </row>
    <row r="44" spans="1:7">
      <c r="A44" s="868"/>
      <c r="B44" s="868"/>
      <c r="C44" s="151">
        <v>4260</v>
      </c>
      <c r="D44" s="169" t="s">
        <v>172</v>
      </c>
      <c r="E44" s="187">
        <v>23175</v>
      </c>
      <c r="F44" s="170">
        <v>23174.93</v>
      </c>
      <c r="G44" s="171">
        <f t="shared" si="0"/>
        <v>99.999697950377566</v>
      </c>
    </row>
    <row r="45" spans="1:7">
      <c r="A45" s="868"/>
      <c r="B45" s="868"/>
      <c r="C45" s="151">
        <v>4270</v>
      </c>
      <c r="D45" s="169" t="s">
        <v>173</v>
      </c>
      <c r="E45" s="187">
        <v>1751500</v>
      </c>
      <c r="F45" s="170">
        <v>1751493.64</v>
      </c>
      <c r="G45" s="171">
        <f t="shared" si="0"/>
        <v>99.999636882671993</v>
      </c>
    </row>
    <row r="46" spans="1:7">
      <c r="A46" s="868"/>
      <c r="B46" s="868"/>
      <c r="C46" s="151">
        <v>4280</v>
      </c>
      <c r="D46" s="169" t="s">
        <v>174</v>
      </c>
      <c r="E46" s="187">
        <v>787</v>
      </c>
      <c r="F46" s="170">
        <v>787</v>
      </c>
      <c r="G46" s="171">
        <f t="shared" si="0"/>
        <v>100</v>
      </c>
    </row>
    <row r="47" spans="1:7">
      <c r="A47" s="868"/>
      <c r="B47" s="868"/>
      <c r="C47" s="151">
        <v>4300</v>
      </c>
      <c r="D47" s="169" t="s">
        <v>161</v>
      </c>
      <c r="E47" s="187">
        <v>412754</v>
      </c>
      <c r="F47" s="170">
        <v>412754</v>
      </c>
      <c r="G47" s="171">
        <f t="shared" si="0"/>
        <v>100</v>
      </c>
    </row>
    <row r="48" spans="1:7">
      <c r="A48" s="868"/>
      <c r="B48" s="868"/>
      <c r="C48" s="151">
        <v>4350</v>
      </c>
      <c r="D48" s="169" t="s">
        <v>175</v>
      </c>
      <c r="E48" s="187">
        <v>800</v>
      </c>
      <c r="F48" s="170">
        <v>785.87</v>
      </c>
      <c r="G48" s="171">
        <f t="shared" si="0"/>
        <v>98.233750000000001</v>
      </c>
    </row>
    <row r="49" spans="1:7" ht="22.5">
      <c r="A49" s="868"/>
      <c r="B49" s="868"/>
      <c r="C49" s="151">
        <v>4360</v>
      </c>
      <c r="D49" s="173" t="s">
        <v>361</v>
      </c>
      <c r="E49" s="187">
        <v>5300</v>
      </c>
      <c r="F49" s="170">
        <v>5297.63</v>
      </c>
      <c r="G49" s="171">
        <f t="shared" si="0"/>
        <v>99.955283018867931</v>
      </c>
    </row>
    <row r="50" spans="1:7" ht="22.5">
      <c r="A50" s="868"/>
      <c r="B50" s="868"/>
      <c r="C50" s="151">
        <v>4370</v>
      </c>
      <c r="D50" s="173" t="s">
        <v>362</v>
      </c>
      <c r="E50" s="187">
        <v>3651</v>
      </c>
      <c r="F50" s="170">
        <v>3650.95</v>
      </c>
      <c r="G50" s="171">
        <f t="shared" si="0"/>
        <v>99.998630512188441</v>
      </c>
    </row>
    <row r="51" spans="1:7">
      <c r="A51" s="868"/>
      <c r="B51" s="868"/>
      <c r="C51" s="151">
        <v>4410</v>
      </c>
      <c r="D51" s="169" t="s">
        <v>176</v>
      </c>
      <c r="E51" s="187">
        <v>63</v>
      </c>
      <c r="F51" s="170">
        <v>62.9</v>
      </c>
      <c r="G51" s="171">
        <f t="shared" si="0"/>
        <v>99.841269841269835</v>
      </c>
    </row>
    <row r="52" spans="1:7">
      <c r="A52" s="868"/>
      <c r="B52" s="868"/>
      <c r="C52" s="151">
        <v>4440</v>
      </c>
      <c r="D52" s="169" t="s">
        <v>363</v>
      </c>
      <c r="E52" s="187">
        <v>18175</v>
      </c>
      <c r="F52" s="170">
        <v>18174.05</v>
      </c>
      <c r="G52" s="171">
        <f t="shared" si="0"/>
        <v>99.994773039889964</v>
      </c>
    </row>
    <row r="53" spans="1:7">
      <c r="A53" s="868"/>
      <c r="B53" s="868"/>
      <c r="C53" s="151">
        <v>4480</v>
      </c>
      <c r="D53" s="169" t="s">
        <v>178</v>
      </c>
      <c r="E53" s="187">
        <v>3742</v>
      </c>
      <c r="F53" s="170">
        <v>3742</v>
      </c>
      <c r="G53" s="171">
        <f t="shared" si="0"/>
        <v>100</v>
      </c>
    </row>
    <row r="54" spans="1:7">
      <c r="A54" s="868"/>
      <c r="B54" s="868"/>
      <c r="C54" s="461">
        <v>4510</v>
      </c>
      <c r="D54" s="216" t="s">
        <v>180</v>
      </c>
      <c r="E54" s="187">
        <v>10</v>
      </c>
      <c r="F54" s="170">
        <v>10</v>
      </c>
      <c r="G54" s="171">
        <f t="shared" si="0"/>
        <v>100</v>
      </c>
    </row>
    <row r="55" spans="1:7">
      <c r="A55" s="868"/>
      <c r="B55" s="868"/>
      <c r="C55" s="151">
        <v>4520</v>
      </c>
      <c r="D55" s="169" t="s">
        <v>179</v>
      </c>
      <c r="E55" s="187">
        <v>1989</v>
      </c>
      <c r="F55" s="170">
        <v>1988.4</v>
      </c>
      <c r="G55" s="171">
        <f t="shared" si="0"/>
        <v>99.969834087481146</v>
      </c>
    </row>
    <row r="56" spans="1:7" ht="22.5">
      <c r="A56" s="868"/>
      <c r="B56" s="868"/>
      <c r="C56" s="151">
        <v>4700</v>
      </c>
      <c r="D56" s="173" t="s">
        <v>365</v>
      </c>
      <c r="E56" s="187">
        <v>6665</v>
      </c>
      <c r="F56" s="170">
        <v>6665</v>
      </c>
      <c r="G56" s="171">
        <f t="shared" si="0"/>
        <v>100</v>
      </c>
    </row>
    <row r="57" spans="1:7" ht="22.5">
      <c r="A57" s="868"/>
      <c r="B57" s="868"/>
      <c r="C57" s="151">
        <v>4740</v>
      </c>
      <c r="D57" s="173" t="s">
        <v>366</v>
      </c>
      <c r="E57" s="187">
        <v>1021</v>
      </c>
      <c r="F57" s="170">
        <v>1007.51</v>
      </c>
      <c r="G57" s="171">
        <f t="shared" si="0"/>
        <v>98.67874632713027</v>
      </c>
    </row>
    <row r="58" spans="1:7" ht="22.5">
      <c r="A58" s="868"/>
      <c r="B58" s="868"/>
      <c r="C58" s="151">
        <v>4750</v>
      </c>
      <c r="D58" s="173" t="s">
        <v>367</v>
      </c>
      <c r="E58" s="187">
        <v>5000</v>
      </c>
      <c r="F58" s="170">
        <v>4996.8999999999996</v>
      </c>
      <c r="G58" s="171">
        <f t="shared" si="0"/>
        <v>99.937999999999988</v>
      </c>
    </row>
    <row r="59" spans="1:7">
      <c r="A59" s="868"/>
      <c r="B59" s="868"/>
      <c r="C59" s="151">
        <v>6050</v>
      </c>
      <c r="D59" s="169" t="s">
        <v>165</v>
      </c>
      <c r="E59" s="187">
        <v>3042502</v>
      </c>
      <c r="F59" s="170">
        <v>3042501.23</v>
      </c>
      <c r="G59" s="171">
        <f t="shared" si="0"/>
        <v>99.999974691881874</v>
      </c>
    </row>
    <row r="60" spans="1:7" ht="22.5">
      <c r="A60" s="868"/>
      <c r="B60" s="868"/>
      <c r="C60" s="151">
        <v>6060</v>
      </c>
      <c r="D60" s="173" t="s">
        <v>184</v>
      </c>
      <c r="E60" s="187">
        <v>96000</v>
      </c>
      <c r="F60" s="170">
        <v>95670.68</v>
      </c>
      <c r="G60" s="171">
        <f t="shared" si="0"/>
        <v>99.656958333333336</v>
      </c>
    </row>
    <row r="61" spans="1:7">
      <c r="A61" s="868"/>
      <c r="B61" s="868"/>
      <c r="C61" s="151"/>
      <c r="D61" s="194" t="s">
        <v>193</v>
      </c>
      <c r="E61" s="230">
        <f>SUM(E62:E65)</f>
        <v>322781</v>
      </c>
      <c r="F61" s="230">
        <f>SUM(F62:F65)</f>
        <v>308283.65000000002</v>
      </c>
      <c r="G61" s="183">
        <f t="shared" si="0"/>
        <v>95.508611101644775</v>
      </c>
    </row>
    <row r="62" spans="1:7">
      <c r="A62" s="868"/>
      <c r="B62" s="868"/>
      <c r="C62" s="461">
        <v>4270</v>
      </c>
      <c r="D62" s="169" t="s">
        <v>173</v>
      </c>
      <c r="E62" s="187">
        <v>179222</v>
      </c>
      <c r="F62" s="187">
        <v>164727.03</v>
      </c>
      <c r="G62" s="171">
        <f t="shared" si="0"/>
        <v>91.912281974311185</v>
      </c>
    </row>
    <row r="63" spans="1:7">
      <c r="A63" s="868"/>
      <c r="B63" s="868"/>
      <c r="C63" s="461">
        <v>4300</v>
      </c>
      <c r="D63" s="169" t="s">
        <v>161</v>
      </c>
      <c r="E63" s="187">
        <v>941</v>
      </c>
      <c r="F63" s="170">
        <v>938.62</v>
      </c>
      <c r="G63" s="171">
        <f t="shared" si="0"/>
        <v>99.747077577045701</v>
      </c>
    </row>
    <row r="64" spans="1:7">
      <c r="A64" s="868"/>
      <c r="B64" s="868"/>
      <c r="C64" s="151">
        <v>6050</v>
      </c>
      <c r="D64" s="169" t="s">
        <v>165</v>
      </c>
      <c r="E64" s="187">
        <v>118218</v>
      </c>
      <c r="F64" s="170">
        <v>118218</v>
      </c>
      <c r="G64" s="171">
        <f t="shared" si="0"/>
        <v>100</v>
      </c>
    </row>
    <row r="65" spans="1:7">
      <c r="A65" s="868"/>
      <c r="B65" s="869"/>
      <c r="C65" s="461">
        <v>6059</v>
      </c>
      <c r="D65" s="169" t="s">
        <v>165</v>
      </c>
      <c r="E65" s="187">
        <v>24400</v>
      </c>
      <c r="F65" s="170">
        <v>24400</v>
      </c>
      <c r="G65" s="171">
        <f t="shared" si="0"/>
        <v>100</v>
      </c>
    </row>
    <row r="66" spans="1:7">
      <c r="A66" s="868"/>
      <c r="B66" s="462">
        <v>60016</v>
      </c>
      <c r="C66" s="461"/>
      <c r="D66" s="125" t="s">
        <v>608</v>
      </c>
      <c r="E66" s="167">
        <f>E67+E68</f>
        <v>201952</v>
      </c>
      <c r="F66" s="167">
        <f>F67+F68</f>
        <v>201952</v>
      </c>
      <c r="G66" s="171">
        <f t="shared" si="0"/>
        <v>100</v>
      </c>
    </row>
    <row r="67" spans="1:7">
      <c r="A67" s="868"/>
      <c r="B67" s="867"/>
      <c r="C67" s="461">
        <v>6050</v>
      </c>
      <c r="D67" s="169" t="s">
        <v>165</v>
      </c>
      <c r="E67" s="187">
        <v>1952</v>
      </c>
      <c r="F67" s="170">
        <v>1952</v>
      </c>
      <c r="G67" s="171">
        <f t="shared" si="0"/>
        <v>100</v>
      </c>
    </row>
    <row r="68" spans="1:7" ht="48">
      <c r="A68" s="869"/>
      <c r="B68" s="869"/>
      <c r="C68" s="461">
        <v>6300</v>
      </c>
      <c r="D68" s="76" t="s">
        <v>612</v>
      </c>
      <c r="E68" s="187">
        <v>200000</v>
      </c>
      <c r="F68" s="170">
        <v>200000</v>
      </c>
      <c r="G68" s="171">
        <f t="shared" si="0"/>
        <v>100</v>
      </c>
    </row>
    <row r="69" spans="1:7">
      <c r="A69" s="161">
        <v>700</v>
      </c>
      <c r="B69" s="161"/>
      <c r="C69" s="161"/>
      <c r="D69" s="162" t="s">
        <v>44</v>
      </c>
      <c r="E69" s="206">
        <f>E70+E89</f>
        <v>476358</v>
      </c>
      <c r="F69" s="163">
        <f>F70+F89</f>
        <v>473743.04000000004</v>
      </c>
      <c r="G69" s="164">
        <f t="shared" si="0"/>
        <v>99.451051520075239</v>
      </c>
    </row>
    <row r="70" spans="1:7">
      <c r="A70" s="748"/>
      <c r="B70" s="165">
        <v>70005</v>
      </c>
      <c r="C70" s="165"/>
      <c r="D70" s="172" t="s">
        <v>45</v>
      </c>
      <c r="E70" s="182">
        <f>E71+E83</f>
        <v>466358</v>
      </c>
      <c r="F70" s="167">
        <f>F71+F83</f>
        <v>463743.04000000004</v>
      </c>
      <c r="G70" s="168">
        <f t="shared" si="0"/>
        <v>99.439280552708439</v>
      </c>
    </row>
    <row r="71" spans="1:7">
      <c r="A71" s="749"/>
      <c r="B71" s="873"/>
      <c r="C71" s="165"/>
      <c r="D71" s="172" t="s">
        <v>331</v>
      </c>
      <c r="E71" s="182">
        <f>SUM(E72:E82)</f>
        <v>449708</v>
      </c>
      <c r="F71" s="167">
        <f>SUM(F72:F82)</f>
        <v>447113.26</v>
      </c>
      <c r="G71" s="168">
        <f t="shared" si="0"/>
        <v>99.423016713067142</v>
      </c>
    </row>
    <row r="72" spans="1:7">
      <c r="A72" s="749"/>
      <c r="B72" s="873"/>
      <c r="C72" s="151">
        <v>4260</v>
      </c>
      <c r="D72" s="169" t="s">
        <v>172</v>
      </c>
      <c r="E72" s="187">
        <v>24000</v>
      </c>
      <c r="F72" s="170">
        <v>23936.18</v>
      </c>
      <c r="G72" s="171">
        <f t="shared" si="0"/>
        <v>99.734083333333331</v>
      </c>
    </row>
    <row r="73" spans="1:7">
      <c r="A73" s="749"/>
      <c r="B73" s="873"/>
      <c r="C73" s="151">
        <v>4270</v>
      </c>
      <c r="D73" s="169" t="s">
        <v>173</v>
      </c>
      <c r="E73" s="187">
        <v>70381</v>
      </c>
      <c r="F73" s="170">
        <v>70335.97</v>
      </c>
      <c r="G73" s="171">
        <f t="shared" si="0"/>
        <v>99.93601966439806</v>
      </c>
    </row>
    <row r="74" spans="1:7">
      <c r="A74" s="749"/>
      <c r="B74" s="873"/>
      <c r="C74" s="151">
        <v>4300</v>
      </c>
      <c r="D74" s="169" t="s">
        <v>161</v>
      </c>
      <c r="E74" s="187">
        <f>80616-E84</f>
        <v>65444</v>
      </c>
      <c r="F74" s="170">
        <f>80539.49-F84</f>
        <v>65387.360000000008</v>
      </c>
      <c r="G74" s="171">
        <f t="shared" si="0"/>
        <v>99.913452722938715</v>
      </c>
    </row>
    <row r="75" spans="1:7" ht="22.5">
      <c r="A75" s="749"/>
      <c r="B75" s="873"/>
      <c r="C75" s="151">
        <v>4400</v>
      </c>
      <c r="D75" s="173" t="s">
        <v>368</v>
      </c>
      <c r="E75" s="187">
        <f>6900-E85</f>
        <v>6500</v>
      </c>
      <c r="F75" s="170">
        <f>6834.49-F85</f>
        <v>6434.53</v>
      </c>
      <c r="G75" s="171">
        <f t="shared" si="0"/>
        <v>98.992769230769227</v>
      </c>
    </row>
    <row r="76" spans="1:7">
      <c r="A76" s="749"/>
      <c r="B76" s="873"/>
      <c r="C76" s="151">
        <v>4480</v>
      </c>
      <c r="D76" s="173" t="s">
        <v>178</v>
      </c>
      <c r="E76" s="187">
        <f>13416-E86</f>
        <v>12768</v>
      </c>
      <c r="F76" s="170">
        <f>13415.69-F86</f>
        <v>12768</v>
      </c>
      <c r="G76" s="171">
        <f t="shared" si="0"/>
        <v>100</v>
      </c>
    </row>
    <row r="77" spans="1:7">
      <c r="A77" s="749"/>
      <c r="B77" s="873"/>
      <c r="C77" s="151">
        <v>4520</v>
      </c>
      <c r="D77" s="169" t="s">
        <v>179</v>
      </c>
      <c r="E77" s="187">
        <v>474</v>
      </c>
      <c r="F77" s="170">
        <v>473.06</v>
      </c>
      <c r="G77" s="171">
        <f t="shared" si="0"/>
        <v>99.801687763713076</v>
      </c>
    </row>
    <row r="78" spans="1:7">
      <c r="A78" s="749"/>
      <c r="B78" s="873"/>
      <c r="C78" s="151">
        <v>4530</v>
      </c>
      <c r="D78" s="169" t="s">
        <v>164</v>
      </c>
      <c r="E78" s="187">
        <v>147180</v>
      </c>
      <c r="F78" s="170">
        <v>147078.75</v>
      </c>
      <c r="G78" s="171">
        <f t="shared" si="0"/>
        <v>99.931206685690995</v>
      </c>
    </row>
    <row r="79" spans="1:7">
      <c r="A79" s="749"/>
      <c r="B79" s="873"/>
      <c r="C79" s="151">
        <v>4580</v>
      </c>
      <c r="D79" s="216" t="s">
        <v>43</v>
      </c>
      <c r="E79" s="187">
        <v>131</v>
      </c>
      <c r="F79" s="170">
        <v>130.61000000000001</v>
      </c>
      <c r="G79" s="171">
        <f t="shared" si="0"/>
        <v>99.702290076335885</v>
      </c>
    </row>
    <row r="80" spans="1:7">
      <c r="A80" s="749"/>
      <c r="B80" s="873"/>
      <c r="C80" s="151">
        <v>4610</v>
      </c>
      <c r="D80" s="169" t="s">
        <v>162</v>
      </c>
      <c r="E80" s="187">
        <f>11400-E88</f>
        <v>11000</v>
      </c>
      <c r="F80" s="170">
        <f>11203.9-F88</f>
        <v>10803.9</v>
      </c>
      <c r="G80" s="171">
        <f t="shared" si="0"/>
        <v>98.217272727272729</v>
      </c>
    </row>
    <row r="81" spans="1:7">
      <c r="A81" s="749"/>
      <c r="B81" s="873"/>
      <c r="C81" s="461">
        <v>6050</v>
      </c>
      <c r="D81" s="169" t="s">
        <v>165</v>
      </c>
      <c r="E81" s="187">
        <v>11920</v>
      </c>
      <c r="F81" s="170">
        <v>11919.4</v>
      </c>
      <c r="G81" s="171">
        <f t="shared" si="0"/>
        <v>99.994966442953015</v>
      </c>
    </row>
    <row r="82" spans="1:7" ht="24">
      <c r="A82" s="749"/>
      <c r="B82" s="873"/>
      <c r="C82" s="461">
        <v>6060</v>
      </c>
      <c r="D82" s="76" t="s">
        <v>184</v>
      </c>
      <c r="E82" s="187">
        <v>99910</v>
      </c>
      <c r="F82" s="170">
        <v>97845.5</v>
      </c>
      <c r="G82" s="171">
        <f t="shared" si="0"/>
        <v>97.933640276248624</v>
      </c>
    </row>
    <row r="83" spans="1:7" s="3" customFormat="1">
      <c r="A83" s="749"/>
      <c r="B83" s="873"/>
      <c r="C83" s="165"/>
      <c r="D83" s="172" t="s">
        <v>332</v>
      </c>
      <c r="E83" s="182">
        <f>SUM(E84:E88)</f>
        <v>16650</v>
      </c>
      <c r="F83" s="167">
        <f>SUM(F84:F88)</f>
        <v>16629.78</v>
      </c>
      <c r="G83" s="168">
        <f t="shared" si="0"/>
        <v>99.878558558558552</v>
      </c>
    </row>
    <row r="84" spans="1:7">
      <c r="A84" s="749"/>
      <c r="B84" s="873"/>
      <c r="C84" s="151">
        <v>4300</v>
      </c>
      <c r="D84" s="169" t="s">
        <v>161</v>
      </c>
      <c r="E84" s="187">
        <v>15172</v>
      </c>
      <c r="F84" s="170">
        <v>15152.13</v>
      </c>
      <c r="G84" s="171">
        <f t="shared" si="0"/>
        <v>99.869035064592666</v>
      </c>
    </row>
    <row r="85" spans="1:7" ht="22.5">
      <c r="A85" s="749"/>
      <c r="B85" s="873"/>
      <c r="C85" s="151">
        <v>4400</v>
      </c>
      <c r="D85" s="173" t="s">
        <v>368</v>
      </c>
      <c r="E85" s="187">
        <v>400</v>
      </c>
      <c r="F85" s="170">
        <v>399.96</v>
      </c>
      <c r="G85" s="171">
        <f t="shared" si="0"/>
        <v>99.99</v>
      </c>
    </row>
    <row r="86" spans="1:7">
      <c r="A86" s="749"/>
      <c r="B86" s="873"/>
      <c r="C86" s="151">
        <v>4480</v>
      </c>
      <c r="D86" s="173" t="s">
        <v>178</v>
      </c>
      <c r="E86" s="187">
        <v>648</v>
      </c>
      <c r="F86" s="170">
        <v>647.69000000000005</v>
      </c>
      <c r="G86" s="171">
        <f t="shared" si="0"/>
        <v>99.952160493827165</v>
      </c>
    </row>
    <row r="87" spans="1:7">
      <c r="A87" s="749"/>
      <c r="B87" s="873"/>
      <c r="C87" s="151">
        <v>4510</v>
      </c>
      <c r="D87" s="173" t="s">
        <v>180</v>
      </c>
      <c r="E87" s="187">
        <v>30</v>
      </c>
      <c r="F87" s="170">
        <v>30</v>
      </c>
      <c r="G87" s="171">
        <f t="shared" si="0"/>
        <v>100</v>
      </c>
    </row>
    <row r="88" spans="1:7">
      <c r="A88" s="749"/>
      <c r="B88" s="873"/>
      <c r="C88" s="151">
        <v>4610</v>
      </c>
      <c r="D88" s="169" t="s">
        <v>162</v>
      </c>
      <c r="E88" s="187">
        <v>400</v>
      </c>
      <c r="F88" s="170">
        <v>400</v>
      </c>
      <c r="G88" s="171">
        <f t="shared" si="0"/>
        <v>100</v>
      </c>
    </row>
    <row r="89" spans="1:7">
      <c r="A89" s="749"/>
      <c r="B89" s="465">
        <v>70095</v>
      </c>
      <c r="C89" s="461"/>
      <c r="D89" s="172" t="s">
        <v>88</v>
      </c>
      <c r="E89" s="182">
        <f>E90</f>
        <v>10000</v>
      </c>
      <c r="F89" s="167">
        <f>F90</f>
        <v>10000</v>
      </c>
      <c r="G89" s="171">
        <f t="shared" si="0"/>
        <v>100</v>
      </c>
    </row>
    <row r="90" spans="1:7" ht="48">
      <c r="A90" s="750"/>
      <c r="B90" s="465"/>
      <c r="C90" s="461">
        <v>6300</v>
      </c>
      <c r="D90" s="76" t="s">
        <v>612</v>
      </c>
      <c r="E90" s="187">
        <v>10000</v>
      </c>
      <c r="F90" s="170">
        <v>10000</v>
      </c>
      <c r="G90" s="171">
        <f t="shared" si="0"/>
        <v>100</v>
      </c>
    </row>
    <row r="91" spans="1:7">
      <c r="A91" s="161">
        <v>710</v>
      </c>
      <c r="B91" s="161"/>
      <c r="C91" s="161"/>
      <c r="D91" s="162" t="s">
        <v>50</v>
      </c>
      <c r="E91" s="206">
        <f>E92+E94+E96</f>
        <v>347167</v>
      </c>
      <c r="F91" s="163">
        <f>F92+F94+F96</f>
        <v>346955.08</v>
      </c>
      <c r="G91" s="164">
        <f t="shared" si="0"/>
        <v>99.938957331774048</v>
      </c>
    </row>
    <row r="92" spans="1:7">
      <c r="A92" s="744"/>
      <c r="B92" s="165">
        <v>71013</v>
      </c>
      <c r="C92" s="165"/>
      <c r="D92" s="172" t="s">
        <v>181</v>
      </c>
      <c r="E92" s="182">
        <f>E93</f>
        <v>58000</v>
      </c>
      <c r="F92" s="167">
        <f>F93</f>
        <v>58000</v>
      </c>
      <c r="G92" s="168">
        <f t="shared" si="0"/>
        <v>100</v>
      </c>
    </row>
    <row r="93" spans="1:7">
      <c r="A93" s="744"/>
      <c r="B93" s="151"/>
      <c r="C93" s="151">
        <v>4300</v>
      </c>
      <c r="D93" s="169" t="s">
        <v>161</v>
      </c>
      <c r="E93" s="187">
        <v>58000</v>
      </c>
      <c r="F93" s="170">
        <v>58000</v>
      </c>
      <c r="G93" s="171">
        <f t="shared" si="0"/>
        <v>100</v>
      </c>
    </row>
    <row r="94" spans="1:7">
      <c r="A94" s="744"/>
      <c r="B94" s="165">
        <v>71014</v>
      </c>
      <c r="C94" s="165"/>
      <c r="D94" s="172" t="s">
        <v>51</v>
      </c>
      <c r="E94" s="182">
        <f>E95</f>
        <v>17000</v>
      </c>
      <c r="F94" s="167">
        <f>F95</f>
        <v>17000</v>
      </c>
      <c r="G94" s="168">
        <f t="shared" si="0"/>
        <v>100</v>
      </c>
    </row>
    <row r="95" spans="1:7">
      <c r="A95" s="744"/>
      <c r="B95" s="151"/>
      <c r="C95" s="151">
        <v>4300</v>
      </c>
      <c r="D95" s="169" t="s">
        <v>161</v>
      </c>
      <c r="E95" s="187">
        <v>17000</v>
      </c>
      <c r="F95" s="170">
        <v>17000</v>
      </c>
      <c r="G95" s="171">
        <f t="shared" si="0"/>
        <v>100</v>
      </c>
    </row>
    <row r="96" spans="1:7">
      <c r="A96" s="744"/>
      <c r="B96" s="165">
        <v>71015</v>
      </c>
      <c r="C96" s="165"/>
      <c r="D96" s="172" t="s">
        <v>52</v>
      </c>
      <c r="E96" s="182">
        <f>SUM(E97:E115)</f>
        <v>272167</v>
      </c>
      <c r="F96" s="167">
        <f>SUM(F97:F115)</f>
        <v>271955.08</v>
      </c>
      <c r="G96" s="168">
        <f t="shared" si="0"/>
        <v>99.922136041474531</v>
      </c>
    </row>
    <row r="97" spans="1:7">
      <c r="A97" s="744"/>
      <c r="B97" s="744"/>
      <c r="C97" s="151">
        <v>4010</v>
      </c>
      <c r="D97" s="169" t="s">
        <v>167</v>
      </c>
      <c r="E97" s="187">
        <v>66720</v>
      </c>
      <c r="F97" s="170">
        <v>66720</v>
      </c>
      <c r="G97" s="171">
        <f t="shared" si="0"/>
        <v>100</v>
      </c>
    </row>
    <row r="98" spans="1:7" ht="22.5">
      <c r="A98" s="744"/>
      <c r="B98" s="744"/>
      <c r="C98" s="151">
        <v>4020</v>
      </c>
      <c r="D98" s="173" t="s">
        <v>182</v>
      </c>
      <c r="E98" s="187">
        <v>127002</v>
      </c>
      <c r="F98" s="170">
        <v>126984.32000000001</v>
      </c>
      <c r="G98" s="171">
        <f t="shared" si="0"/>
        <v>99.986078959386461</v>
      </c>
    </row>
    <row r="99" spans="1:7">
      <c r="A99" s="744"/>
      <c r="B99" s="744"/>
      <c r="C99" s="151">
        <v>4040</v>
      </c>
      <c r="D99" s="169" t="s">
        <v>168</v>
      </c>
      <c r="E99" s="187">
        <v>14090</v>
      </c>
      <c r="F99" s="170">
        <v>14089.04</v>
      </c>
      <c r="G99" s="171">
        <f t="shared" si="0"/>
        <v>99.993186657203694</v>
      </c>
    </row>
    <row r="100" spans="1:7">
      <c r="A100" s="744"/>
      <c r="B100" s="744"/>
      <c r="C100" s="151">
        <v>4110</v>
      </c>
      <c r="D100" s="169" t="s">
        <v>169</v>
      </c>
      <c r="E100" s="187">
        <v>32292</v>
      </c>
      <c r="F100" s="170">
        <v>32104.639999999999</v>
      </c>
      <c r="G100" s="171">
        <f t="shared" si="0"/>
        <v>99.419794376316119</v>
      </c>
    </row>
    <row r="101" spans="1:7">
      <c r="A101" s="744"/>
      <c r="B101" s="744"/>
      <c r="C101" s="151">
        <v>4120</v>
      </c>
      <c r="D101" s="169" t="s">
        <v>191</v>
      </c>
      <c r="E101" s="187">
        <v>5027</v>
      </c>
      <c r="F101" s="170">
        <v>5026.29</v>
      </c>
      <c r="G101" s="171">
        <f t="shared" si="0"/>
        <v>99.985876268151983</v>
      </c>
    </row>
    <row r="102" spans="1:7">
      <c r="A102" s="744"/>
      <c r="B102" s="744"/>
      <c r="C102" s="151">
        <v>4210</v>
      </c>
      <c r="D102" s="169" t="s">
        <v>171</v>
      </c>
      <c r="E102" s="187">
        <v>9204</v>
      </c>
      <c r="F102" s="170">
        <v>9204</v>
      </c>
      <c r="G102" s="171">
        <f t="shared" si="0"/>
        <v>100</v>
      </c>
    </row>
    <row r="103" spans="1:7">
      <c r="A103" s="744"/>
      <c r="B103" s="744"/>
      <c r="C103" s="151">
        <v>4270</v>
      </c>
      <c r="D103" s="169" t="s">
        <v>173</v>
      </c>
      <c r="E103" s="187">
        <v>353</v>
      </c>
      <c r="F103" s="170">
        <v>352.3</v>
      </c>
      <c r="G103" s="171">
        <f t="shared" si="0"/>
        <v>99.801699716713884</v>
      </c>
    </row>
    <row r="104" spans="1:7">
      <c r="A104" s="744"/>
      <c r="B104" s="744"/>
      <c r="C104" s="151">
        <v>4280</v>
      </c>
      <c r="D104" s="186" t="s">
        <v>174</v>
      </c>
      <c r="E104" s="187">
        <v>100</v>
      </c>
      <c r="F104" s="170">
        <v>100</v>
      </c>
      <c r="G104" s="171">
        <f t="shared" si="0"/>
        <v>100</v>
      </c>
    </row>
    <row r="105" spans="1:7">
      <c r="A105" s="744"/>
      <c r="B105" s="744"/>
      <c r="C105" s="151">
        <v>4300</v>
      </c>
      <c r="D105" s="169" t="s">
        <v>161</v>
      </c>
      <c r="E105" s="187">
        <v>4246</v>
      </c>
      <c r="F105" s="170">
        <v>4245.08</v>
      </c>
      <c r="G105" s="171">
        <f t="shared" si="0"/>
        <v>99.978332548280733</v>
      </c>
    </row>
    <row r="106" spans="1:7">
      <c r="A106" s="744"/>
      <c r="B106" s="744"/>
      <c r="C106" s="151">
        <v>4350</v>
      </c>
      <c r="D106" s="169" t="s">
        <v>175</v>
      </c>
      <c r="E106" s="187">
        <v>779</v>
      </c>
      <c r="F106" s="170">
        <v>777</v>
      </c>
      <c r="G106" s="171">
        <f t="shared" si="0"/>
        <v>99.74326059050064</v>
      </c>
    </row>
    <row r="107" spans="1:7" ht="22.5">
      <c r="A107" s="744"/>
      <c r="B107" s="744"/>
      <c r="C107" s="151">
        <v>4370</v>
      </c>
      <c r="D107" s="173" t="s">
        <v>362</v>
      </c>
      <c r="E107" s="187">
        <v>1473</v>
      </c>
      <c r="F107" s="170">
        <v>1472.84</v>
      </c>
      <c r="G107" s="171">
        <f t="shared" si="0"/>
        <v>99.989137813985067</v>
      </c>
    </row>
    <row r="108" spans="1:7" ht="22.5">
      <c r="A108" s="744"/>
      <c r="B108" s="744"/>
      <c r="C108" s="151">
        <v>4400</v>
      </c>
      <c r="D108" s="173" t="s">
        <v>368</v>
      </c>
      <c r="E108" s="187">
        <v>1200</v>
      </c>
      <c r="F108" s="170">
        <v>1200</v>
      </c>
      <c r="G108" s="171">
        <f t="shared" si="0"/>
        <v>100</v>
      </c>
    </row>
    <row r="109" spans="1:7">
      <c r="A109" s="744"/>
      <c r="B109" s="744"/>
      <c r="C109" s="151">
        <v>4410</v>
      </c>
      <c r="D109" s="169" t="s">
        <v>176</v>
      </c>
      <c r="E109" s="187">
        <v>2955</v>
      </c>
      <c r="F109" s="170">
        <v>2954.82</v>
      </c>
      <c r="G109" s="171">
        <f t="shared" si="0"/>
        <v>99.99390862944162</v>
      </c>
    </row>
    <row r="110" spans="1:7">
      <c r="A110" s="744"/>
      <c r="B110" s="744"/>
      <c r="C110" s="151">
        <v>4430</v>
      </c>
      <c r="D110" s="169" t="s">
        <v>177</v>
      </c>
      <c r="E110" s="187">
        <v>1242</v>
      </c>
      <c r="F110" s="170">
        <v>1242</v>
      </c>
      <c r="G110" s="171">
        <f t="shared" si="0"/>
        <v>100</v>
      </c>
    </row>
    <row r="111" spans="1:7">
      <c r="A111" s="744"/>
      <c r="B111" s="744"/>
      <c r="C111" s="151">
        <v>4440</v>
      </c>
      <c r="D111" s="169" t="s">
        <v>363</v>
      </c>
      <c r="E111" s="187">
        <v>4251</v>
      </c>
      <c r="F111" s="170">
        <v>4251</v>
      </c>
      <c r="G111" s="171">
        <f t="shared" si="0"/>
        <v>100</v>
      </c>
    </row>
    <row r="112" spans="1:7">
      <c r="A112" s="744"/>
      <c r="B112" s="744"/>
      <c r="C112" s="151">
        <v>4480</v>
      </c>
      <c r="D112" s="173" t="s">
        <v>178</v>
      </c>
      <c r="E112" s="187">
        <v>232</v>
      </c>
      <c r="F112" s="170">
        <v>232</v>
      </c>
      <c r="G112" s="171">
        <f t="shared" si="0"/>
        <v>100</v>
      </c>
    </row>
    <row r="113" spans="1:7">
      <c r="A113" s="744"/>
      <c r="B113" s="744"/>
      <c r="C113" s="151">
        <v>4610</v>
      </c>
      <c r="D113" s="169" t="s">
        <v>162</v>
      </c>
      <c r="E113" s="187">
        <v>6</v>
      </c>
      <c r="F113" s="170">
        <v>5.88</v>
      </c>
      <c r="G113" s="171">
        <f t="shared" si="0"/>
        <v>98</v>
      </c>
    </row>
    <row r="114" spans="1:7" ht="22.5">
      <c r="A114" s="744"/>
      <c r="B114" s="744"/>
      <c r="C114" s="151">
        <v>4740</v>
      </c>
      <c r="D114" s="173" t="s">
        <v>366</v>
      </c>
      <c r="E114" s="187">
        <v>500</v>
      </c>
      <c r="F114" s="170">
        <v>499.87</v>
      </c>
      <c r="G114" s="171">
        <f t="shared" si="0"/>
        <v>99.974000000000004</v>
      </c>
    </row>
    <row r="115" spans="1:7" ht="22.5">
      <c r="A115" s="744"/>
      <c r="B115" s="744"/>
      <c r="C115" s="151">
        <v>4750</v>
      </c>
      <c r="D115" s="173" t="s">
        <v>367</v>
      </c>
      <c r="E115" s="187">
        <v>495</v>
      </c>
      <c r="F115" s="170">
        <v>494</v>
      </c>
      <c r="G115" s="171">
        <f t="shared" si="0"/>
        <v>99.797979797979792</v>
      </c>
    </row>
    <row r="116" spans="1:7">
      <c r="A116" s="161">
        <v>750</v>
      </c>
      <c r="B116" s="161"/>
      <c r="C116" s="161"/>
      <c r="D116" s="162" t="s">
        <v>53</v>
      </c>
      <c r="E116" s="206">
        <f>E117+E121+E125+E158+E173+E167</f>
        <v>5342036</v>
      </c>
      <c r="F116" s="163">
        <f>F117+F121+F125+F158+F173+F167</f>
        <v>5329739.59</v>
      </c>
      <c r="G116" s="164">
        <f t="shared" ref="G116:G183" si="1">F116*100/E116</f>
        <v>99.769817912121894</v>
      </c>
    </row>
    <row r="117" spans="1:7">
      <c r="A117" s="873"/>
      <c r="B117" s="165">
        <v>75011</v>
      </c>
      <c r="C117" s="165"/>
      <c r="D117" s="172" t="s">
        <v>54</v>
      </c>
      <c r="E117" s="182">
        <f>E118+E119+E120</f>
        <v>104200</v>
      </c>
      <c r="F117" s="167">
        <f>F118+F119+F120</f>
        <v>104200</v>
      </c>
      <c r="G117" s="168">
        <f t="shared" si="1"/>
        <v>100</v>
      </c>
    </row>
    <row r="118" spans="1:7">
      <c r="A118" s="873"/>
      <c r="B118" s="873"/>
      <c r="C118" s="151">
        <v>4010</v>
      </c>
      <c r="D118" s="169" t="s">
        <v>167</v>
      </c>
      <c r="E118" s="187">
        <v>88650</v>
      </c>
      <c r="F118" s="170">
        <v>88650</v>
      </c>
      <c r="G118" s="171">
        <f t="shared" si="1"/>
        <v>100</v>
      </c>
    </row>
    <row r="119" spans="1:7">
      <c r="A119" s="873"/>
      <c r="B119" s="873"/>
      <c r="C119" s="151">
        <v>4110</v>
      </c>
      <c r="D119" s="169" t="s">
        <v>169</v>
      </c>
      <c r="E119" s="187">
        <v>13380</v>
      </c>
      <c r="F119" s="170">
        <v>13380</v>
      </c>
      <c r="G119" s="171">
        <f t="shared" si="1"/>
        <v>100</v>
      </c>
    </row>
    <row r="120" spans="1:7">
      <c r="A120" s="873"/>
      <c r="B120" s="873"/>
      <c r="C120" s="151">
        <v>4120</v>
      </c>
      <c r="D120" s="169" t="s">
        <v>191</v>
      </c>
      <c r="E120" s="187">
        <v>2170</v>
      </c>
      <c r="F120" s="170">
        <v>2170</v>
      </c>
      <c r="G120" s="171">
        <f t="shared" si="1"/>
        <v>100</v>
      </c>
    </row>
    <row r="121" spans="1:7">
      <c r="A121" s="873"/>
      <c r="B121" s="165">
        <v>75019</v>
      </c>
      <c r="C121" s="165"/>
      <c r="D121" s="172" t="s">
        <v>55</v>
      </c>
      <c r="E121" s="182">
        <f>SUM(E122:E124)</f>
        <v>205726</v>
      </c>
      <c r="F121" s="167">
        <f>SUM(F122:F124)</f>
        <v>205721.12999999998</v>
      </c>
      <c r="G121" s="168">
        <f t="shared" si="1"/>
        <v>99.997632773689261</v>
      </c>
    </row>
    <row r="122" spans="1:7">
      <c r="A122" s="873"/>
      <c r="B122" s="867"/>
      <c r="C122" s="151">
        <v>3030</v>
      </c>
      <c r="D122" s="169" t="s">
        <v>163</v>
      </c>
      <c r="E122" s="187">
        <v>192675</v>
      </c>
      <c r="F122" s="170">
        <v>192670.9</v>
      </c>
      <c r="G122" s="171">
        <f t="shared" si="1"/>
        <v>99.997872064357082</v>
      </c>
    </row>
    <row r="123" spans="1:7">
      <c r="A123" s="873"/>
      <c r="B123" s="868"/>
      <c r="C123" s="151">
        <v>4210</v>
      </c>
      <c r="D123" s="169" t="s">
        <v>171</v>
      </c>
      <c r="E123" s="187">
        <v>6191</v>
      </c>
      <c r="F123" s="170">
        <v>6190.83</v>
      </c>
      <c r="G123" s="171">
        <f t="shared" si="1"/>
        <v>99.997254078501044</v>
      </c>
    </row>
    <row r="124" spans="1:7">
      <c r="A124" s="873"/>
      <c r="B124" s="868"/>
      <c r="C124" s="151">
        <v>4300</v>
      </c>
      <c r="D124" s="169" t="s">
        <v>161</v>
      </c>
      <c r="E124" s="187">
        <v>6860</v>
      </c>
      <c r="F124" s="170">
        <v>6859.4</v>
      </c>
      <c r="G124" s="171">
        <f t="shared" si="1"/>
        <v>99.991253644314867</v>
      </c>
    </row>
    <row r="125" spans="1:7">
      <c r="A125" s="873"/>
      <c r="B125" s="165">
        <v>75020</v>
      </c>
      <c r="C125" s="165"/>
      <c r="D125" s="172" t="s">
        <v>56</v>
      </c>
      <c r="E125" s="182">
        <f>SUM(E126:E157)</f>
        <v>4588587</v>
      </c>
      <c r="F125" s="167">
        <f>SUM(F126:F157)</f>
        <v>4576299.43</v>
      </c>
      <c r="G125" s="168">
        <f t="shared" si="1"/>
        <v>99.732214513966937</v>
      </c>
    </row>
    <row r="126" spans="1:7">
      <c r="A126" s="873"/>
      <c r="B126" s="744"/>
      <c r="C126" s="151">
        <v>3020</v>
      </c>
      <c r="D126" s="169" t="s">
        <v>166</v>
      </c>
      <c r="E126" s="187">
        <v>11000</v>
      </c>
      <c r="F126" s="170">
        <v>10833.68</v>
      </c>
      <c r="G126" s="171">
        <f t="shared" si="1"/>
        <v>98.488</v>
      </c>
    </row>
    <row r="127" spans="1:7">
      <c r="A127" s="873"/>
      <c r="B127" s="744"/>
      <c r="C127" s="151">
        <v>4010</v>
      </c>
      <c r="D127" s="169" t="s">
        <v>167</v>
      </c>
      <c r="E127" s="187">
        <v>2515184</v>
      </c>
      <c r="F127" s="170">
        <v>2514956.5099999998</v>
      </c>
      <c r="G127" s="171">
        <f t="shared" si="1"/>
        <v>99.990955333685321</v>
      </c>
    </row>
    <row r="128" spans="1:7">
      <c r="A128" s="873"/>
      <c r="B128" s="744"/>
      <c r="C128" s="151">
        <v>4040</v>
      </c>
      <c r="D128" s="169" t="s">
        <v>168</v>
      </c>
      <c r="E128" s="187">
        <v>178316</v>
      </c>
      <c r="F128" s="170">
        <v>178315.9</v>
      </c>
      <c r="G128" s="171">
        <f t="shared" si="1"/>
        <v>99.999943919782851</v>
      </c>
    </row>
    <row r="129" spans="1:7">
      <c r="A129" s="873"/>
      <c r="B129" s="744"/>
      <c r="C129" s="151">
        <v>4110</v>
      </c>
      <c r="D129" s="169" t="s">
        <v>169</v>
      </c>
      <c r="E129" s="187">
        <v>384290</v>
      </c>
      <c r="F129" s="170">
        <v>382500.38</v>
      </c>
      <c r="G129" s="171">
        <f t="shared" si="1"/>
        <v>99.534304821879303</v>
      </c>
    </row>
    <row r="130" spans="1:7">
      <c r="A130" s="873"/>
      <c r="B130" s="744"/>
      <c r="C130" s="151">
        <v>4120</v>
      </c>
      <c r="D130" s="169" t="s">
        <v>191</v>
      </c>
      <c r="E130" s="187">
        <v>61078</v>
      </c>
      <c r="F130" s="170">
        <v>61076.81</v>
      </c>
      <c r="G130" s="171">
        <f t="shared" si="1"/>
        <v>99.998051671632993</v>
      </c>
    </row>
    <row r="131" spans="1:7" ht="22.5">
      <c r="A131" s="873"/>
      <c r="B131" s="744"/>
      <c r="C131" s="151">
        <v>4140</v>
      </c>
      <c r="D131" s="186" t="s">
        <v>218</v>
      </c>
      <c r="E131" s="187">
        <v>7546</v>
      </c>
      <c r="F131" s="170">
        <v>7546</v>
      </c>
      <c r="G131" s="171">
        <f t="shared" si="1"/>
        <v>100</v>
      </c>
    </row>
    <row r="132" spans="1:7">
      <c r="A132" s="873"/>
      <c r="B132" s="744"/>
      <c r="C132" s="151">
        <v>4170</v>
      </c>
      <c r="D132" s="169" t="s">
        <v>170</v>
      </c>
      <c r="E132" s="187">
        <v>73030</v>
      </c>
      <c r="F132" s="170">
        <v>72817.279999999999</v>
      </c>
      <c r="G132" s="171">
        <f t="shared" si="1"/>
        <v>99.708722442831714</v>
      </c>
    </row>
    <row r="133" spans="1:7">
      <c r="A133" s="873"/>
      <c r="B133" s="744"/>
      <c r="C133" s="151">
        <v>4210</v>
      </c>
      <c r="D133" s="169" t="s">
        <v>171</v>
      </c>
      <c r="E133" s="187">
        <v>394400</v>
      </c>
      <c r="F133" s="170">
        <v>392116.61</v>
      </c>
      <c r="G133" s="171">
        <f t="shared" si="1"/>
        <v>99.421047160243404</v>
      </c>
    </row>
    <row r="134" spans="1:7">
      <c r="A134" s="873"/>
      <c r="B134" s="744"/>
      <c r="C134" s="151">
        <v>4260</v>
      </c>
      <c r="D134" s="169" t="s">
        <v>172</v>
      </c>
      <c r="E134" s="187">
        <v>103312</v>
      </c>
      <c r="F134" s="170">
        <v>103311.48</v>
      </c>
      <c r="G134" s="171">
        <f t="shared" si="1"/>
        <v>99.999496670280323</v>
      </c>
    </row>
    <row r="135" spans="1:7">
      <c r="A135" s="873"/>
      <c r="B135" s="744"/>
      <c r="C135" s="151">
        <v>4270</v>
      </c>
      <c r="D135" s="169" t="s">
        <v>173</v>
      </c>
      <c r="E135" s="187">
        <v>48698</v>
      </c>
      <c r="F135" s="170">
        <v>48697.63</v>
      </c>
      <c r="G135" s="171">
        <f t="shared" si="1"/>
        <v>99.999240215203912</v>
      </c>
    </row>
    <row r="136" spans="1:7">
      <c r="A136" s="873"/>
      <c r="B136" s="744"/>
      <c r="C136" s="151">
        <v>4280</v>
      </c>
      <c r="D136" s="169" t="s">
        <v>174</v>
      </c>
      <c r="E136" s="187">
        <v>1950</v>
      </c>
      <c r="F136" s="170">
        <v>1948</v>
      </c>
      <c r="G136" s="171">
        <f t="shared" si="1"/>
        <v>99.897435897435898</v>
      </c>
    </row>
    <row r="137" spans="1:7">
      <c r="A137" s="873"/>
      <c r="B137" s="744"/>
      <c r="C137" s="151">
        <v>4300</v>
      </c>
      <c r="D137" s="169" t="s">
        <v>161</v>
      </c>
      <c r="E137" s="187">
        <v>422671</v>
      </c>
      <c r="F137" s="170">
        <v>419452.04</v>
      </c>
      <c r="G137" s="171">
        <f t="shared" si="1"/>
        <v>99.238424211739158</v>
      </c>
    </row>
    <row r="138" spans="1:7">
      <c r="A138" s="873"/>
      <c r="B138" s="744"/>
      <c r="C138" s="151">
        <v>4350</v>
      </c>
      <c r="D138" s="169" t="s">
        <v>175</v>
      </c>
      <c r="E138" s="187">
        <v>2827</v>
      </c>
      <c r="F138" s="170">
        <v>2826.74</v>
      </c>
      <c r="G138" s="171">
        <f t="shared" si="1"/>
        <v>99.990802971347719</v>
      </c>
    </row>
    <row r="139" spans="1:7" ht="22.5">
      <c r="A139" s="873"/>
      <c r="B139" s="744"/>
      <c r="C139" s="151">
        <v>4360</v>
      </c>
      <c r="D139" s="173" t="s">
        <v>361</v>
      </c>
      <c r="E139" s="187">
        <v>29500</v>
      </c>
      <c r="F139" s="170">
        <v>29294.95</v>
      </c>
      <c r="G139" s="171">
        <f t="shared" si="1"/>
        <v>99.304915254237287</v>
      </c>
    </row>
    <row r="140" spans="1:7" ht="22.5">
      <c r="A140" s="873"/>
      <c r="B140" s="744"/>
      <c r="C140" s="151">
        <v>4370</v>
      </c>
      <c r="D140" s="173" t="s">
        <v>362</v>
      </c>
      <c r="E140" s="187">
        <v>20349</v>
      </c>
      <c r="F140" s="170">
        <v>20348.099999999999</v>
      </c>
      <c r="G140" s="171">
        <f t="shared" si="1"/>
        <v>99.995577178239699</v>
      </c>
    </row>
    <row r="141" spans="1:7">
      <c r="A141" s="873"/>
      <c r="B141" s="744"/>
      <c r="C141" s="151">
        <v>4380</v>
      </c>
      <c r="D141" s="169" t="s">
        <v>369</v>
      </c>
      <c r="E141" s="187">
        <v>4179</v>
      </c>
      <c r="F141" s="170">
        <v>4080.9</v>
      </c>
      <c r="G141" s="171">
        <f t="shared" si="1"/>
        <v>97.652548456568553</v>
      </c>
    </row>
    <row r="142" spans="1:7" ht="22.5">
      <c r="A142" s="873"/>
      <c r="B142" s="744"/>
      <c r="C142" s="151">
        <v>4400</v>
      </c>
      <c r="D142" s="173" t="s">
        <v>368</v>
      </c>
      <c r="E142" s="187">
        <v>8094</v>
      </c>
      <c r="F142" s="170">
        <v>8093.28</v>
      </c>
      <c r="G142" s="171">
        <f t="shared" si="1"/>
        <v>99.991104521868053</v>
      </c>
    </row>
    <row r="143" spans="1:7">
      <c r="A143" s="873"/>
      <c r="B143" s="744"/>
      <c r="C143" s="151">
        <v>4410</v>
      </c>
      <c r="D143" s="169" t="s">
        <v>176</v>
      </c>
      <c r="E143" s="187">
        <v>58000</v>
      </c>
      <c r="F143" s="170">
        <v>57811.43</v>
      </c>
      <c r="G143" s="171">
        <f t="shared" si="1"/>
        <v>99.674879310344821</v>
      </c>
    </row>
    <row r="144" spans="1:7">
      <c r="A144" s="873"/>
      <c r="B144" s="744"/>
      <c r="C144" s="151">
        <v>4420</v>
      </c>
      <c r="D144" s="169" t="s">
        <v>183</v>
      </c>
      <c r="E144" s="187">
        <v>8406</v>
      </c>
      <c r="F144" s="170">
        <v>8405.9</v>
      </c>
      <c r="G144" s="171">
        <f t="shared" si="1"/>
        <v>99.99881037354271</v>
      </c>
    </row>
    <row r="145" spans="1:7">
      <c r="A145" s="873"/>
      <c r="B145" s="744"/>
      <c r="C145" s="151">
        <v>4430</v>
      </c>
      <c r="D145" s="169" t="s">
        <v>177</v>
      </c>
      <c r="E145" s="187">
        <v>39828</v>
      </c>
      <c r="F145" s="170">
        <v>38531.43</v>
      </c>
      <c r="G145" s="171">
        <f t="shared" si="1"/>
        <v>96.744576679722812</v>
      </c>
    </row>
    <row r="146" spans="1:7">
      <c r="A146" s="873"/>
      <c r="B146" s="744"/>
      <c r="C146" s="151">
        <v>4440</v>
      </c>
      <c r="D146" s="169" t="s">
        <v>363</v>
      </c>
      <c r="E146" s="187">
        <v>74320</v>
      </c>
      <c r="F146" s="170">
        <v>74319.59</v>
      </c>
      <c r="G146" s="171">
        <f t="shared" si="1"/>
        <v>99.999448331539284</v>
      </c>
    </row>
    <row r="147" spans="1:7">
      <c r="A147" s="873"/>
      <c r="B147" s="744"/>
      <c r="C147" s="151">
        <v>4510</v>
      </c>
      <c r="D147" s="169" t="s">
        <v>180</v>
      </c>
      <c r="E147" s="187">
        <v>319</v>
      </c>
      <c r="F147" s="170">
        <v>319</v>
      </c>
      <c r="G147" s="171">
        <f t="shared" si="1"/>
        <v>100</v>
      </c>
    </row>
    <row r="148" spans="1:7" ht="24">
      <c r="A148" s="873"/>
      <c r="B148" s="744"/>
      <c r="C148" s="461">
        <v>4520</v>
      </c>
      <c r="D148" s="76" t="s">
        <v>385</v>
      </c>
      <c r="E148" s="187">
        <v>20</v>
      </c>
      <c r="F148" s="170">
        <v>19.600000000000001</v>
      </c>
      <c r="G148" s="171">
        <f t="shared" si="1"/>
        <v>98.000000000000014</v>
      </c>
    </row>
    <row r="149" spans="1:7">
      <c r="A149" s="873"/>
      <c r="B149" s="744"/>
      <c r="C149" s="461">
        <v>4530</v>
      </c>
      <c r="D149" s="216" t="s">
        <v>164</v>
      </c>
      <c r="E149" s="187">
        <v>1020</v>
      </c>
      <c r="F149" s="170">
        <v>1019.03</v>
      </c>
      <c r="G149" s="171">
        <f t="shared" si="1"/>
        <v>99.904901960784315</v>
      </c>
    </row>
    <row r="150" spans="1:7" ht="22.5">
      <c r="A150" s="873"/>
      <c r="B150" s="744"/>
      <c r="C150" s="151">
        <v>4590</v>
      </c>
      <c r="D150" s="173" t="s">
        <v>364</v>
      </c>
      <c r="E150" s="187">
        <v>1065</v>
      </c>
      <c r="F150" s="170">
        <v>639.4</v>
      </c>
      <c r="G150" s="171">
        <f t="shared" si="1"/>
        <v>60.037558685446008</v>
      </c>
    </row>
    <row r="151" spans="1:7">
      <c r="A151" s="873"/>
      <c r="B151" s="744"/>
      <c r="C151" s="151">
        <v>4610</v>
      </c>
      <c r="D151" s="169" t="s">
        <v>162</v>
      </c>
      <c r="E151" s="187">
        <v>2768</v>
      </c>
      <c r="F151" s="170">
        <v>2767.04</v>
      </c>
      <c r="G151" s="171">
        <f t="shared" si="1"/>
        <v>99.965317919075147</v>
      </c>
    </row>
    <row r="152" spans="1:7" ht="22.5">
      <c r="A152" s="873"/>
      <c r="B152" s="744"/>
      <c r="C152" s="151">
        <v>4700</v>
      </c>
      <c r="D152" s="173" t="s">
        <v>365</v>
      </c>
      <c r="E152" s="187">
        <v>22905</v>
      </c>
      <c r="F152" s="170">
        <v>22904.99</v>
      </c>
      <c r="G152" s="171">
        <f t="shared" si="1"/>
        <v>99.999956341410169</v>
      </c>
    </row>
    <row r="153" spans="1:7" ht="22.5">
      <c r="A153" s="873"/>
      <c r="B153" s="744"/>
      <c r="C153" s="151">
        <v>4740</v>
      </c>
      <c r="D153" s="173" t="s">
        <v>366</v>
      </c>
      <c r="E153" s="187">
        <v>10000</v>
      </c>
      <c r="F153" s="170">
        <v>9675.9699999999993</v>
      </c>
      <c r="G153" s="171">
        <f t="shared" si="1"/>
        <v>96.759699999999995</v>
      </c>
    </row>
    <row r="154" spans="1:7" ht="22.5">
      <c r="A154" s="873"/>
      <c r="B154" s="744"/>
      <c r="C154" s="151">
        <v>4750</v>
      </c>
      <c r="D154" s="173" t="s">
        <v>367</v>
      </c>
      <c r="E154" s="187">
        <v>69000</v>
      </c>
      <c r="F154" s="170">
        <v>68157.759999999995</v>
      </c>
      <c r="G154" s="171">
        <f t="shared" si="1"/>
        <v>98.779362318840569</v>
      </c>
    </row>
    <row r="155" spans="1:7">
      <c r="A155" s="873"/>
      <c r="B155" s="744"/>
      <c r="C155" s="151">
        <v>6050</v>
      </c>
      <c r="D155" s="173" t="s">
        <v>165</v>
      </c>
      <c r="E155" s="187">
        <v>23800</v>
      </c>
      <c r="F155" s="170">
        <v>22800</v>
      </c>
      <c r="G155" s="171">
        <f t="shared" si="1"/>
        <v>95.798319327731093</v>
      </c>
    </row>
    <row r="156" spans="1:7" ht="24">
      <c r="A156" s="873"/>
      <c r="B156" s="744"/>
      <c r="C156" s="461">
        <v>6060</v>
      </c>
      <c r="D156" s="76" t="s">
        <v>184</v>
      </c>
      <c r="E156" s="187">
        <v>8540</v>
      </c>
      <c r="F156" s="170">
        <v>8540</v>
      </c>
      <c r="G156" s="171">
        <f t="shared" si="1"/>
        <v>100</v>
      </c>
    </row>
    <row r="157" spans="1:7" ht="46.5" customHeight="1">
      <c r="A157" s="873"/>
      <c r="B157" s="744"/>
      <c r="C157" s="151">
        <v>6650</v>
      </c>
      <c r="D157" s="174" t="s">
        <v>185</v>
      </c>
      <c r="E157" s="187">
        <v>2172</v>
      </c>
      <c r="F157" s="170">
        <v>2172</v>
      </c>
      <c r="G157" s="171">
        <f t="shared" si="1"/>
        <v>100</v>
      </c>
    </row>
    <row r="158" spans="1:7">
      <c r="A158" s="873"/>
      <c r="B158" s="165">
        <v>75045</v>
      </c>
      <c r="C158" s="165"/>
      <c r="D158" s="172" t="s">
        <v>607</v>
      </c>
      <c r="E158" s="182">
        <f>SUM(E159:E166)</f>
        <v>16760</v>
      </c>
      <c r="F158" s="167">
        <f>SUM(F159:F166)</f>
        <v>16758.189999999999</v>
      </c>
      <c r="G158" s="168">
        <f t="shared" si="1"/>
        <v>99.98920047732696</v>
      </c>
    </row>
    <row r="159" spans="1:7">
      <c r="A159" s="873"/>
      <c r="B159" s="744"/>
      <c r="C159" s="151">
        <v>4110</v>
      </c>
      <c r="D159" s="169" t="s">
        <v>169</v>
      </c>
      <c r="E159" s="187">
        <v>514</v>
      </c>
      <c r="F159" s="170">
        <v>513.4</v>
      </c>
      <c r="G159" s="171">
        <f t="shared" si="1"/>
        <v>99.883268482490266</v>
      </c>
    </row>
    <row r="160" spans="1:7">
      <c r="A160" s="873"/>
      <c r="B160" s="744"/>
      <c r="C160" s="151">
        <v>4120</v>
      </c>
      <c r="D160" s="169" t="s">
        <v>191</v>
      </c>
      <c r="E160" s="187">
        <v>84</v>
      </c>
      <c r="F160" s="170">
        <v>83.32</v>
      </c>
      <c r="G160" s="171">
        <f t="shared" si="1"/>
        <v>99.19047619047619</v>
      </c>
    </row>
    <row r="161" spans="1:7">
      <c r="A161" s="873"/>
      <c r="B161" s="744"/>
      <c r="C161" s="151">
        <v>4170</v>
      </c>
      <c r="D161" s="169" t="s">
        <v>170</v>
      </c>
      <c r="E161" s="187">
        <v>9579</v>
      </c>
      <c r="F161" s="170">
        <v>9579</v>
      </c>
      <c r="G161" s="171">
        <f t="shared" si="1"/>
        <v>100</v>
      </c>
    </row>
    <row r="162" spans="1:7">
      <c r="A162" s="873"/>
      <c r="B162" s="744"/>
      <c r="C162" s="461">
        <v>4190</v>
      </c>
      <c r="D162" s="216" t="s">
        <v>558</v>
      </c>
      <c r="E162" s="187">
        <v>2000</v>
      </c>
      <c r="F162" s="170">
        <v>2000</v>
      </c>
      <c r="G162" s="171">
        <f t="shared" si="1"/>
        <v>100</v>
      </c>
    </row>
    <row r="163" spans="1:7">
      <c r="A163" s="873"/>
      <c r="B163" s="744"/>
      <c r="C163" s="151">
        <v>4210</v>
      </c>
      <c r="D163" s="169" t="s">
        <v>171</v>
      </c>
      <c r="E163" s="187">
        <v>919</v>
      </c>
      <c r="F163" s="170">
        <v>918.51</v>
      </c>
      <c r="G163" s="171">
        <f t="shared" si="1"/>
        <v>99.94668117519042</v>
      </c>
    </row>
    <row r="164" spans="1:7">
      <c r="A164" s="873"/>
      <c r="B164" s="744"/>
      <c r="C164" s="461">
        <v>4280</v>
      </c>
      <c r="D164" s="76" t="s">
        <v>174</v>
      </c>
      <c r="E164" s="187">
        <v>382</v>
      </c>
      <c r="F164" s="170">
        <v>382</v>
      </c>
      <c r="G164" s="171">
        <f t="shared" si="1"/>
        <v>100</v>
      </c>
    </row>
    <row r="165" spans="1:7">
      <c r="A165" s="873"/>
      <c r="B165" s="744"/>
      <c r="C165" s="151">
        <v>4300</v>
      </c>
      <c r="D165" s="169" t="s">
        <v>161</v>
      </c>
      <c r="E165" s="187">
        <v>1182</v>
      </c>
      <c r="F165" s="170">
        <v>1181.96</v>
      </c>
      <c r="G165" s="171">
        <f t="shared" si="1"/>
        <v>99.996615905245349</v>
      </c>
    </row>
    <row r="166" spans="1:7" ht="22.5">
      <c r="A166" s="873"/>
      <c r="B166" s="744"/>
      <c r="C166" s="151">
        <v>4400</v>
      </c>
      <c r="D166" s="173" t="s">
        <v>368</v>
      </c>
      <c r="E166" s="187">
        <v>2100</v>
      </c>
      <c r="F166" s="170">
        <v>2100</v>
      </c>
      <c r="G166" s="171">
        <f t="shared" si="1"/>
        <v>100</v>
      </c>
    </row>
    <row r="167" spans="1:7">
      <c r="A167" s="873"/>
      <c r="B167" s="165">
        <v>75075</v>
      </c>
      <c r="C167" s="165"/>
      <c r="D167" s="172" t="s">
        <v>137</v>
      </c>
      <c r="E167" s="182">
        <f>SUM(E168:E172)</f>
        <v>248571</v>
      </c>
      <c r="F167" s="167">
        <f>SUM(F168:F172)</f>
        <v>248569.74000000002</v>
      </c>
      <c r="G167" s="171">
        <f t="shared" si="1"/>
        <v>99.999493102574334</v>
      </c>
    </row>
    <row r="168" spans="1:7">
      <c r="A168" s="873"/>
      <c r="B168" s="868"/>
      <c r="C168" s="151">
        <v>4170</v>
      </c>
      <c r="D168" s="169" t="s">
        <v>170</v>
      </c>
      <c r="E168" s="187">
        <v>29933</v>
      </c>
      <c r="F168" s="170">
        <v>29933</v>
      </c>
      <c r="G168" s="171">
        <f t="shared" si="1"/>
        <v>100</v>
      </c>
    </row>
    <row r="169" spans="1:7">
      <c r="A169" s="873"/>
      <c r="B169" s="868"/>
      <c r="C169" s="151">
        <v>4210</v>
      </c>
      <c r="D169" s="169" t="s">
        <v>171</v>
      </c>
      <c r="E169" s="187">
        <v>61635</v>
      </c>
      <c r="F169" s="170">
        <v>61634.11</v>
      </c>
      <c r="G169" s="171">
        <f t="shared" si="1"/>
        <v>99.998556015251069</v>
      </c>
    </row>
    <row r="170" spans="1:7">
      <c r="A170" s="873"/>
      <c r="B170" s="868"/>
      <c r="C170" s="151">
        <v>4300</v>
      </c>
      <c r="D170" s="169" t="s">
        <v>161</v>
      </c>
      <c r="E170" s="187">
        <v>151608</v>
      </c>
      <c r="F170" s="170">
        <v>151607.79</v>
      </c>
      <c r="G170" s="171">
        <f t="shared" si="1"/>
        <v>99.999861484882061</v>
      </c>
    </row>
    <row r="171" spans="1:7">
      <c r="A171" s="873"/>
      <c r="B171" s="868"/>
      <c r="C171" s="461">
        <v>4380</v>
      </c>
      <c r="D171" s="216" t="s">
        <v>369</v>
      </c>
      <c r="E171" s="187">
        <v>1003</v>
      </c>
      <c r="F171" s="170">
        <v>1002.84</v>
      </c>
      <c r="G171" s="171">
        <f t="shared" si="1"/>
        <v>99.984047856430706</v>
      </c>
    </row>
    <row r="172" spans="1:7" ht="21.75" customHeight="1">
      <c r="A172" s="873"/>
      <c r="B172" s="869"/>
      <c r="C172" s="151">
        <v>6060</v>
      </c>
      <c r="D172" s="186" t="s">
        <v>184</v>
      </c>
      <c r="E172" s="187">
        <v>4392</v>
      </c>
      <c r="F172" s="170">
        <v>4392</v>
      </c>
      <c r="G172" s="171">
        <f t="shared" si="1"/>
        <v>100</v>
      </c>
    </row>
    <row r="173" spans="1:7">
      <c r="A173" s="873"/>
      <c r="B173" s="165">
        <v>75095</v>
      </c>
      <c r="C173" s="165"/>
      <c r="D173" s="172" t="s">
        <v>88</v>
      </c>
      <c r="E173" s="182">
        <f>SUM(E174:E174)</f>
        <v>178192</v>
      </c>
      <c r="F173" s="167">
        <f>SUM(F174:F174)</f>
        <v>178191.1</v>
      </c>
      <c r="G173" s="168">
        <f t="shared" si="1"/>
        <v>99.999494926820503</v>
      </c>
    </row>
    <row r="174" spans="1:7">
      <c r="A174" s="873"/>
      <c r="B174" s="465"/>
      <c r="C174" s="151">
        <v>4430</v>
      </c>
      <c r="D174" s="169" t="s">
        <v>177</v>
      </c>
      <c r="E174" s="187">
        <v>178192</v>
      </c>
      <c r="F174" s="170">
        <v>178191.1</v>
      </c>
      <c r="G174" s="171">
        <f t="shared" si="1"/>
        <v>99.999494926820503</v>
      </c>
    </row>
    <row r="175" spans="1:7">
      <c r="A175" s="161">
        <v>754</v>
      </c>
      <c r="B175" s="161"/>
      <c r="C175" s="161"/>
      <c r="D175" s="162" t="s">
        <v>186</v>
      </c>
      <c r="E175" s="206">
        <f>E183+E219+E176+E221+E181</f>
        <v>3535121</v>
      </c>
      <c r="F175" s="206">
        <f>F183+F219+F176+F221+F181</f>
        <v>3481204.330000001</v>
      </c>
      <c r="G175" s="164">
        <f t="shared" si="1"/>
        <v>98.474828160054528</v>
      </c>
    </row>
    <row r="176" spans="1:7" s="14" customFormat="1">
      <c r="A176" s="884"/>
      <c r="B176" s="195">
        <v>75405</v>
      </c>
      <c r="C176" s="195"/>
      <c r="D176" s="250" t="s">
        <v>411</v>
      </c>
      <c r="E176" s="182">
        <f>E177+E180+E178+E179</f>
        <v>61890</v>
      </c>
      <c r="F176" s="182">
        <f>F177+F180+F178+F179</f>
        <v>61889.39</v>
      </c>
      <c r="G176" s="171">
        <f t="shared" si="1"/>
        <v>99.999014380352236</v>
      </c>
    </row>
    <row r="177" spans="1:7" s="14" customFormat="1">
      <c r="A177" s="885"/>
      <c r="B177" s="884"/>
      <c r="C177" s="198">
        <v>3000</v>
      </c>
      <c r="D177" s="186" t="s">
        <v>420</v>
      </c>
      <c r="E177" s="187">
        <v>35000</v>
      </c>
      <c r="F177" s="170">
        <v>35000</v>
      </c>
      <c r="G177" s="171">
        <f t="shared" si="1"/>
        <v>100</v>
      </c>
    </row>
    <row r="178" spans="1:7" s="14" customFormat="1">
      <c r="A178" s="885"/>
      <c r="B178" s="885"/>
      <c r="C178" s="198">
        <v>4210</v>
      </c>
      <c r="D178" s="169" t="s">
        <v>171</v>
      </c>
      <c r="E178" s="187">
        <v>5805</v>
      </c>
      <c r="F178" s="170">
        <v>5804.76</v>
      </c>
      <c r="G178" s="171">
        <f t="shared" si="1"/>
        <v>99.995865633074942</v>
      </c>
    </row>
    <row r="179" spans="1:7" s="14" customFormat="1">
      <c r="A179" s="885"/>
      <c r="B179" s="885"/>
      <c r="C179" s="198">
        <v>4300</v>
      </c>
      <c r="D179" s="169" t="s">
        <v>161</v>
      </c>
      <c r="E179" s="187">
        <v>17585</v>
      </c>
      <c r="F179" s="170">
        <v>17584.63</v>
      </c>
      <c r="G179" s="171">
        <f t="shared" si="1"/>
        <v>99.997895934034688</v>
      </c>
    </row>
    <row r="180" spans="1:7" s="14" customFormat="1" ht="23.25" customHeight="1">
      <c r="A180" s="885"/>
      <c r="B180" s="886"/>
      <c r="C180" s="198">
        <v>6060</v>
      </c>
      <c r="D180" s="186" t="s">
        <v>184</v>
      </c>
      <c r="E180" s="187">
        <v>3500</v>
      </c>
      <c r="F180" s="170">
        <v>3500</v>
      </c>
      <c r="G180" s="171">
        <f t="shared" si="1"/>
        <v>100</v>
      </c>
    </row>
    <row r="181" spans="1:7" s="14" customFormat="1" ht="12.75" customHeight="1">
      <c r="A181" s="885"/>
      <c r="B181" s="463">
        <v>75406</v>
      </c>
      <c r="C181" s="198"/>
      <c r="D181" s="112" t="s">
        <v>609</v>
      </c>
      <c r="E181" s="182">
        <f>E182</f>
        <v>4000</v>
      </c>
      <c r="F181" s="167">
        <f>F182</f>
        <v>3999.91</v>
      </c>
      <c r="G181" s="171">
        <f t="shared" si="1"/>
        <v>99.997749999999996</v>
      </c>
    </row>
    <row r="182" spans="1:7" s="14" customFormat="1" ht="12.75" customHeight="1">
      <c r="A182" s="885"/>
      <c r="B182" s="463"/>
      <c r="C182" s="198">
        <v>4210</v>
      </c>
      <c r="D182" s="169" t="s">
        <v>171</v>
      </c>
      <c r="E182" s="187">
        <v>4000</v>
      </c>
      <c r="F182" s="170">
        <v>3999.91</v>
      </c>
      <c r="G182" s="171">
        <f t="shared" si="1"/>
        <v>99.997749999999996</v>
      </c>
    </row>
    <row r="183" spans="1:7">
      <c r="A183" s="885"/>
      <c r="B183" s="165">
        <v>75411</v>
      </c>
      <c r="C183" s="165"/>
      <c r="D183" s="172" t="s">
        <v>187</v>
      </c>
      <c r="E183" s="182">
        <f>E184+E217</f>
        <v>3369231</v>
      </c>
      <c r="F183" s="182">
        <f>F184+F217</f>
        <v>3369180.4700000007</v>
      </c>
      <c r="G183" s="168">
        <f t="shared" si="1"/>
        <v>99.998500251244295</v>
      </c>
    </row>
    <row r="184" spans="1:7">
      <c r="A184" s="885"/>
      <c r="B184" s="867"/>
      <c r="C184" s="465"/>
      <c r="D184" s="172" t="s">
        <v>516</v>
      </c>
      <c r="E184" s="182">
        <f>SUM(E185:E216)</f>
        <v>2969231</v>
      </c>
      <c r="F184" s="182">
        <f>SUM(F185:F216)</f>
        <v>2969180.4700000007</v>
      </c>
      <c r="G184" s="171">
        <f t="shared" ref="G184" si="2">F184*100/E184</f>
        <v>99.998298212567519</v>
      </c>
    </row>
    <row r="185" spans="1:7" ht="22.5">
      <c r="A185" s="885"/>
      <c r="B185" s="868"/>
      <c r="C185" s="151">
        <v>3070</v>
      </c>
      <c r="D185" s="173" t="s">
        <v>188</v>
      </c>
      <c r="E185" s="187">
        <v>149381</v>
      </c>
      <c r="F185" s="170">
        <v>149380.95000000001</v>
      </c>
      <c r="G185" s="171">
        <f t="shared" ref="G185:G272" si="3">F185*100/E185</f>
        <v>99.999966528541123</v>
      </c>
    </row>
    <row r="186" spans="1:7" ht="22.5">
      <c r="A186" s="885"/>
      <c r="B186" s="868"/>
      <c r="C186" s="151">
        <v>4020</v>
      </c>
      <c r="D186" s="173" t="s">
        <v>182</v>
      </c>
      <c r="E186" s="187">
        <v>65058</v>
      </c>
      <c r="F186" s="170">
        <v>65058</v>
      </c>
      <c r="G186" s="171">
        <f t="shared" si="3"/>
        <v>100</v>
      </c>
    </row>
    <row r="187" spans="1:7">
      <c r="A187" s="885"/>
      <c r="B187" s="868"/>
      <c r="C187" s="151">
        <v>4040</v>
      </c>
      <c r="D187" s="169" t="s">
        <v>168</v>
      </c>
      <c r="E187" s="187">
        <v>2663</v>
      </c>
      <c r="F187" s="170">
        <v>2662.28</v>
      </c>
      <c r="G187" s="171">
        <f t="shared" si="3"/>
        <v>99.972962823882838</v>
      </c>
    </row>
    <row r="188" spans="1:7" ht="22.5">
      <c r="A188" s="885"/>
      <c r="B188" s="868"/>
      <c r="C188" s="151">
        <v>4050</v>
      </c>
      <c r="D188" s="173" t="s">
        <v>370</v>
      </c>
      <c r="E188" s="187">
        <v>1991777</v>
      </c>
      <c r="F188" s="170">
        <v>1991777</v>
      </c>
      <c r="G188" s="171">
        <f t="shared" si="3"/>
        <v>100</v>
      </c>
    </row>
    <row r="189" spans="1:7" ht="22.5">
      <c r="A189" s="885"/>
      <c r="B189" s="868"/>
      <c r="C189" s="151">
        <v>4060</v>
      </c>
      <c r="D189" s="173" t="s">
        <v>371</v>
      </c>
      <c r="E189" s="187">
        <v>162725</v>
      </c>
      <c r="F189" s="170">
        <v>162724.9</v>
      </c>
      <c r="G189" s="171">
        <f t="shared" si="3"/>
        <v>99.999938546627746</v>
      </c>
    </row>
    <row r="190" spans="1:7" ht="23.25" customHeight="1">
      <c r="A190" s="885"/>
      <c r="B190" s="868"/>
      <c r="C190" s="151">
        <v>4070</v>
      </c>
      <c r="D190" s="174" t="s">
        <v>372</v>
      </c>
      <c r="E190" s="187">
        <v>150269</v>
      </c>
      <c r="F190" s="170">
        <v>150268.01</v>
      </c>
      <c r="G190" s="171">
        <f t="shared" si="3"/>
        <v>99.999341181481213</v>
      </c>
    </row>
    <row r="191" spans="1:7" ht="24" customHeight="1">
      <c r="A191" s="885"/>
      <c r="B191" s="868"/>
      <c r="C191" s="151">
        <v>4080</v>
      </c>
      <c r="D191" s="173" t="s">
        <v>424</v>
      </c>
      <c r="E191" s="187">
        <v>32325</v>
      </c>
      <c r="F191" s="170">
        <v>32325</v>
      </c>
      <c r="G191" s="171">
        <f t="shared" si="3"/>
        <v>100</v>
      </c>
    </row>
    <row r="192" spans="1:7">
      <c r="A192" s="885"/>
      <c r="B192" s="868"/>
      <c r="C192" s="151">
        <v>4110</v>
      </c>
      <c r="D192" s="169" t="s">
        <v>169</v>
      </c>
      <c r="E192" s="187">
        <v>12856</v>
      </c>
      <c r="F192" s="170">
        <v>12855.28</v>
      </c>
      <c r="G192" s="171">
        <f t="shared" si="3"/>
        <v>99.99439950217797</v>
      </c>
    </row>
    <row r="193" spans="1:7">
      <c r="A193" s="885"/>
      <c r="B193" s="868"/>
      <c r="C193" s="151">
        <v>4120</v>
      </c>
      <c r="D193" s="169" t="s">
        <v>191</v>
      </c>
      <c r="E193" s="187">
        <v>1661</v>
      </c>
      <c r="F193" s="170">
        <v>1660.23</v>
      </c>
      <c r="G193" s="171">
        <f t="shared" si="3"/>
        <v>99.953642384105962</v>
      </c>
    </row>
    <row r="194" spans="1:7">
      <c r="A194" s="885"/>
      <c r="B194" s="868"/>
      <c r="C194" s="151">
        <v>4170</v>
      </c>
      <c r="D194" s="169" t="s">
        <v>170</v>
      </c>
      <c r="E194" s="187">
        <v>9600</v>
      </c>
      <c r="F194" s="170">
        <v>9600</v>
      </c>
      <c r="G194" s="171">
        <f t="shared" si="3"/>
        <v>100</v>
      </c>
    </row>
    <row r="195" spans="1:7" ht="22.5">
      <c r="A195" s="885"/>
      <c r="B195" s="868"/>
      <c r="C195" s="151">
        <v>4180</v>
      </c>
      <c r="D195" s="173" t="s">
        <v>189</v>
      </c>
      <c r="E195" s="187">
        <v>83484</v>
      </c>
      <c r="F195" s="170">
        <v>83483.320000000007</v>
      </c>
      <c r="G195" s="171">
        <f t="shared" si="3"/>
        <v>99.999185472665431</v>
      </c>
    </row>
    <row r="196" spans="1:7">
      <c r="A196" s="885"/>
      <c r="B196" s="868"/>
      <c r="C196" s="151">
        <v>4210</v>
      </c>
      <c r="D196" s="169" t="s">
        <v>171</v>
      </c>
      <c r="E196" s="187">
        <v>90690</v>
      </c>
      <c r="F196" s="170">
        <v>90689.63</v>
      </c>
      <c r="G196" s="171">
        <f t="shared" si="3"/>
        <v>99.999592016760388</v>
      </c>
    </row>
    <row r="197" spans="1:7" ht="24">
      <c r="A197" s="885"/>
      <c r="B197" s="868"/>
      <c r="C197" s="461">
        <v>4230</v>
      </c>
      <c r="D197" s="76" t="s">
        <v>559</v>
      </c>
      <c r="E197" s="187">
        <v>490</v>
      </c>
      <c r="F197" s="170">
        <v>489.97</v>
      </c>
      <c r="G197" s="171">
        <f t="shared" si="3"/>
        <v>99.993877551020404</v>
      </c>
    </row>
    <row r="198" spans="1:7">
      <c r="A198" s="885"/>
      <c r="B198" s="868"/>
      <c r="C198" s="461">
        <v>4250</v>
      </c>
      <c r="D198" s="76" t="s">
        <v>560</v>
      </c>
      <c r="E198" s="187">
        <v>3577</v>
      </c>
      <c r="F198" s="170">
        <v>3576.93</v>
      </c>
      <c r="G198" s="171">
        <f t="shared" si="3"/>
        <v>99.998043052837573</v>
      </c>
    </row>
    <row r="199" spans="1:7">
      <c r="A199" s="885"/>
      <c r="B199" s="868"/>
      <c r="C199" s="151">
        <v>4260</v>
      </c>
      <c r="D199" s="169" t="s">
        <v>172</v>
      </c>
      <c r="E199" s="187">
        <v>46060</v>
      </c>
      <c r="F199" s="170">
        <v>46059.26</v>
      </c>
      <c r="G199" s="171">
        <f t="shared" si="3"/>
        <v>99.998393399913155</v>
      </c>
    </row>
    <row r="200" spans="1:7">
      <c r="A200" s="885"/>
      <c r="B200" s="868"/>
      <c r="C200" s="151">
        <v>4270</v>
      </c>
      <c r="D200" s="169" t="s">
        <v>173</v>
      </c>
      <c r="E200" s="187">
        <v>51843</v>
      </c>
      <c r="F200" s="170">
        <v>51806.66</v>
      </c>
      <c r="G200" s="171">
        <f t="shared" si="3"/>
        <v>99.929903747854098</v>
      </c>
    </row>
    <row r="201" spans="1:7">
      <c r="A201" s="885"/>
      <c r="B201" s="868"/>
      <c r="C201" s="151">
        <v>4280</v>
      </c>
      <c r="D201" s="169" t="s">
        <v>174</v>
      </c>
      <c r="E201" s="187">
        <v>12523</v>
      </c>
      <c r="F201" s="170">
        <v>12523</v>
      </c>
      <c r="G201" s="171">
        <f t="shared" si="3"/>
        <v>100</v>
      </c>
    </row>
    <row r="202" spans="1:7">
      <c r="A202" s="885"/>
      <c r="B202" s="868"/>
      <c r="C202" s="151">
        <v>4300</v>
      </c>
      <c r="D202" s="169" t="s">
        <v>161</v>
      </c>
      <c r="E202" s="187">
        <v>27603</v>
      </c>
      <c r="F202" s="170">
        <v>27602.22</v>
      </c>
      <c r="G202" s="171">
        <f t="shared" si="3"/>
        <v>99.997174220193457</v>
      </c>
    </row>
    <row r="203" spans="1:7">
      <c r="A203" s="885"/>
      <c r="B203" s="868"/>
      <c r="C203" s="151">
        <v>4350</v>
      </c>
      <c r="D203" s="169" t="s">
        <v>175</v>
      </c>
      <c r="E203" s="187">
        <v>1506</v>
      </c>
      <c r="F203" s="170">
        <v>1505.85</v>
      </c>
      <c r="G203" s="171">
        <f t="shared" si="3"/>
        <v>99.990039840637451</v>
      </c>
    </row>
    <row r="204" spans="1:7" ht="22.5">
      <c r="A204" s="885"/>
      <c r="B204" s="868"/>
      <c r="C204" s="151">
        <v>4360</v>
      </c>
      <c r="D204" s="173" t="s">
        <v>361</v>
      </c>
      <c r="E204" s="187">
        <v>3961</v>
      </c>
      <c r="F204" s="170">
        <v>3960.74</v>
      </c>
      <c r="G204" s="171">
        <f t="shared" si="3"/>
        <v>99.99343600100984</v>
      </c>
    </row>
    <row r="205" spans="1:7" ht="22.5">
      <c r="A205" s="885"/>
      <c r="B205" s="868"/>
      <c r="C205" s="151">
        <v>4370</v>
      </c>
      <c r="D205" s="173" t="s">
        <v>362</v>
      </c>
      <c r="E205" s="187">
        <v>4186</v>
      </c>
      <c r="F205" s="170">
        <v>4185.6400000000003</v>
      </c>
      <c r="G205" s="171">
        <f t="shared" si="3"/>
        <v>99.991399904443398</v>
      </c>
    </row>
    <row r="206" spans="1:7">
      <c r="A206" s="885"/>
      <c r="B206" s="868"/>
      <c r="C206" s="151">
        <v>4410</v>
      </c>
      <c r="D206" s="169" t="s">
        <v>176</v>
      </c>
      <c r="E206" s="187">
        <v>1867</v>
      </c>
      <c r="F206" s="170">
        <v>1866.2</v>
      </c>
      <c r="G206" s="171">
        <f t="shared" si="3"/>
        <v>99.957150508837714</v>
      </c>
    </row>
    <row r="207" spans="1:7">
      <c r="A207" s="885"/>
      <c r="B207" s="868"/>
      <c r="C207" s="151">
        <v>4430</v>
      </c>
      <c r="D207" s="169" t="s">
        <v>177</v>
      </c>
      <c r="E207" s="187">
        <v>1953</v>
      </c>
      <c r="F207" s="170">
        <v>1953</v>
      </c>
      <c r="G207" s="171">
        <f t="shared" si="3"/>
        <v>100</v>
      </c>
    </row>
    <row r="208" spans="1:7">
      <c r="A208" s="885"/>
      <c r="B208" s="868"/>
      <c r="C208" s="151">
        <v>4440</v>
      </c>
      <c r="D208" s="169" t="s">
        <v>363</v>
      </c>
      <c r="E208" s="187">
        <v>2001</v>
      </c>
      <c r="F208" s="170">
        <v>2000.08</v>
      </c>
      <c r="G208" s="171">
        <f t="shared" si="3"/>
        <v>99.954022988505741</v>
      </c>
    </row>
    <row r="209" spans="1:7">
      <c r="A209" s="885"/>
      <c r="B209" s="868"/>
      <c r="C209" s="151">
        <v>4480</v>
      </c>
      <c r="D209" s="169" t="s">
        <v>178</v>
      </c>
      <c r="E209" s="187">
        <v>7744</v>
      </c>
      <c r="F209" s="170">
        <v>7744</v>
      </c>
      <c r="G209" s="171">
        <f t="shared" si="3"/>
        <v>100</v>
      </c>
    </row>
    <row r="210" spans="1:7">
      <c r="A210" s="885"/>
      <c r="B210" s="868"/>
      <c r="C210" s="151">
        <v>4500</v>
      </c>
      <c r="D210" s="169" t="s">
        <v>373</v>
      </c>
      <c r="E210" s="187">
        <v>845</v>
      </c>
      <c r="F210" s="170">
        <v>845</v>
      </c>
      <c r="G210" s="171">
        <f t="shared" si="3"/>
        <v>100</v>
      </c>
    </row>
    <row r="211" spans="1:7">
      <c r="A211" s="885"/>
      <c r="B211" s="868"/>
      <c r="C211" s="151">
        <v>4510</v>
      </c>
      <c r="D211" s="169" t="s">
        <v>180</v>
      </c>
      <c r="E211" s="187">
        <v>146</v>
      </c>
      <c r="F211" s="170">
        <v>145.33000000000001</v>
      </c>
      <c r="G211" s="171">
        <f t="shared" si="3"/>
        <v>99.541095890410972</v>
      </c>
    </row>
    <row r="212" spans="1:7">
      <c r="A212" s="885"/>
      <c r="B212" s="868"/>
      <c r="C212" s="461">
        <v>4550</v>
      </c>
      <c r="D212" s="216" t="s">
        <v>562</v>
      </c>
      <c r="E212" s="187">
        <v>500</v>
      </c>
      <c r="F212" s="170">
        <v>500</v>
      </c>
      <c r="G212" s="171">
        <f t="shared" si="3"/>
        <v>100</v>
      </c>
    </row>
    <row r="213" spans="1:7" ht="22.5">
      <c r="A213" s="885"/>
      <c r="B213" s="868"/>
      <c r="C213" s="151">
        <v>4740</v>
      </c>
      <c r="D213" s="173" t="s">
        <v>366</v>
      </c>
      <c r="E213" s="187">
        <v>1381</v>
      </c>
      <c r="F213" s="170">
        <v>1380.8</v>
      </c>
      <c r="G213" s="171">
        <f t="shared" si="3"/>
        <v>99.985517740767563</v>
      </c>
    </row>
    <row r="214" spans="1:7" ht="22.5">
      <c r="A214" s="885"/>
      <c r="B214" s="868"/>
      <c r="C214" s="151">
        <v>4750</v>
      </c>
      <c r="D214" s="173" t="s">
        <v>367</v>
      </c>
      <c r="E214" s="187">
        <v>7356</v>
      </c>
      <c r="F214" s="170">
        <v>7355.99</v>
      </c>
      <c r="G214" s="171">
        <f t="shared" si="3"/>
        <v>99.999864056552468</v>
      </c>
    </row>
    <row r="215" spans="1:7">
      <c r="A215" s="885"/>
      <c r="B215" s="868"/>
      <c r="C215" s="461">
        <v>6050</v>
      </c>
      <c r="D215" s="216" t="s">
        <v>165</v>
      </c>
      <c r="E215" s="187">
        <v>8000</v>
      </c>
      <c r="F215" s="170">
        <v>7995.2</v>
      </c>
      <c r="G215" s="171">
        <f t="shared" si="3"/>
        <v>99.94</v>
      </c>
    </row>
    <row r="216" spans="1:7" ht="21.75" customHeight="1">
      <c r="A216" s="885"/>
      <c r="B216" s="868"/>
      <c r="C216" s="151">
        <v>6060</v>
      </c>
      <c r="D216" s="186" t="s">
        <v>184</v>
      </c>
      <c r="E216" s="187">
        <v>33200</v>
      </c>
      <c r="F216" s="170">
        <v>33200</v>
      </c>
      <c r="G216" s="171">
        <f t="shared" si="3"/>
        <v>100</v>
      </c>
    </row>
    <row r="217" spans="1:7" ht="12.75" customHeight="1">
      <c r="A217" s="885"/>
      <c r="B217" s="868"/>
      <c r="C217" s="461"/>
      <c r="D217" s="192" t="s">
        <v>193</v>
      </c>
      <c r="E217" s="182">
        <f>E218</f>
        <v>400000</v>
      </c>
      <c r="F217" s="167">
        <f>F218</f>
        <v>400000</v>
      </c>
      <c r="G217" s="171">
        <f t="shared" si="3"/>
        <v>100</v>
      </c>
    </row>
    <row r="218" spans="1:7" ht="23.25" customHeight="1">
      <c r="A218" s="885"/>
      <c r="B218" s="869"/>
      <c r="C218" s="461">
        <v>6060</v>
      </c>
      <c r="D218" s="186" t="s">
        <v>184</v>
      </c>
      <c r="E218" s="187">
        <v>400000</v>
      </c>
      <c r="F218" s="170">
        <v>400000</v>
      </c>
      <c r="G218" s="171">
        <f t="shared" si="3"/>
        <v>100</v>
      </c>
    </row>
    <row r="219" spans="1:7" s="3" customFormat="1">
      <c r="A219" s="885"/>
      <c r="B219" s="165">
        <v>75412</v>
      </c>
      <c r="C219" s="165"/>
      <c r="D219" s="172" t="s">
        <v>351</v>
      </c>
      <c r="E219" s="182">
        <f>E220</f>
        <v>35000</v>
      </c>
      <c r="F219" s="167">
        <f>F220</f>
        <v>35000</v>
      </c>
      <c r="G219" s="171">
        <f t="shared" si="3"/>
        <v>100</v>
      </c>
    </row>
    <row r="220" spans="1:7" ht="48">
      <c r="A220" s="885"/>
      <c r="B220" s="151"/>
      <c r="C220" s="151">
        <v>6300</v>
      </c>
      <c r="D220" s="76" t="s">
        <v>612</v>
      </c>
      <c r="E220" s="187">
        <v>35000</v>
      </c>
      <c r="F220" s="170">
        <v>35000</v>
      </c>
      <c r="G220" s="171">
        <f t="shared" si="3"/>
        <v>100</v>
      </c>
    </row>
    <row r="221" spans="1:7">
      <c r="A221" s="885"/>
      <c r="B221" s="165">
        <v>75421</v>
      </c>
      <c r="C221" s="165"/>
      <c r="D221" s="250" t="s">
        <v>403</v>
      </c>
      <c r="E221" s="182">
        <f>SUM(E222:E224)</f>
        <v>65000</v>
      </c>
      <c r="F221" s="167">
        <f>SUM(F222:F224)</f>
        <v>11134.56</v>
      </c>
      <c r="G221" s="168">
        <f t="shared" si="3"/>
        <v>17.130092307692308</v>
      </c>
    </row>
    <row r="222" spans="1:7">
      <c r="A222" s="885"/>
      <c r="B222" s="748"/>
      <c r="C222" s="151">
        <v>4210</v>
      </c>
      <c r="D222" s="169" t="s">
        <v>171</v>
      </c>
      <c r="E222" s="187">
        <v>14205</v>
      </c>
      <c r="F222" s="170">
        <v>9409.2999999999993</v>
      </c>
      <c r="G222" s="171">
        <f t="shared" si="3"/>
        <v>66.239352340725091</v>
      </c>
    </row>
    <row r="223" spans="1:7">
      <c r="A223" s="885"/>
      <c r="B223" s="749"/>
      <c r="C223" s="151">
        <v>4300</v>
      </c>
      <c r="D223" s="169" t="s">
        <v>161</v>
      </c>
      <c r="E223" s="187">
        <v>2504</v>
      </c>
      <c r="F223" s="170">
        <v>1725.26</v>
      </c>
      <c r="G223" s="171">
        <f t="shared" si="3"/>
        <v>68.900159744408953</v>
      </c>
    </row>
    <row r="224" spans="1:7">
      <c r="A224" s="886"/>
      <c r="B224" s="750"/>
      <c r="C224" s="151">
        <v>4810</v>
      </c>
      <c r="D224" s="173" t="s">
        <v>435</v>
      </c>
      <c r="E224" s="187">
        <v>48291</v>
      </c>
      <c r="F224" s="170">
        <v>0</v>
      </c>
      <c r="G224" s="171">
        <f t="shared" si="3"/>
        <v>0</v>
      </c>
    </row>
    <row r="225" spans="1:7">
      <c r="A225" s="161">
        <v>757</v>
      </c>
      <c r="B225" s="161"/>
      <c r="C225" s="161"/>
      <c r="D225" s="162" t="s">
        <v>139</v>
      </c>
      <c r="E225" s="206">
        <f>E226</f>
        <v>379970</v>
      </c>
      <c r="F225" s="163">
        <f>F226</f>
        <v>371604.72</v>
      </c>
      <c r="G225" s="164">
        <f t="shared" si="3"/>
        <v>97.798436718688322</v>
      </c>
    </row>
    <row r="226" spans="1:7" ht="21">
      <c r="A226" s="744"/>
      <c r="B226" s="165">
        <v>75702</v>
      </c>
      <c r="C226" s="165"/>
      <c r="D226" s="166" t="s">
        <v>382</v>
      </c>
      <c r="E226" s="182">
        <f>E228+E229+E227</f>
        <v>379970</v>
      </c>
      <c r="F226" s="167">
        <f>F228+F229+F227</f>
        <v>371604.72</v>
      </c>
      <c r="G226" s="168">
        <f t="shared" si="3"/>
        <v>97.798436718688322</v>
      </c>
    </row>
    <row r="227" spans="1:7" ht="22.5">
      <c r="A227" s="744"/>
      <c r="B227" s="867"/>
      <c r="C227" s="151">
        <v>8010</v>
      </c>
      <c r="D227" s="174" t="s">
        <v>436</v>
      </c>
      <c r="E227" s="187">
        <v>49683</v>
      </c>
      <c r="F227" s="170">
        <v>49682.25</v>
      </c>
      <c r="G227" s="171">
        <f t="shared" si="3"/>
        <v>99.998490429321905</v>
      </c>
    </row>
    <row r="228" spans="1:7" ht="45">
      <c r="A228" s="744"/>
      <c r="B228" s="868"/>
      <c r="C228" s="151">
        <v>8070</v>
      </c>
      <c r="D228" s="173" t="s">
        <v>374</v>
      </c>
      <c r="E228" s="187">
        <v>252947</v>
      </c>
      <c r="F228" s="170">
        <v>244583.02</v>
      </c>
      <c r="G228" s="171">
        <f t="shared" si="3"/>
        <v>96.693386361569821</v>
      </c>
    </row>
    <row r="229" spans="1:7">
      <c r="A229" s="744"/>
      <c r="B229" s="869"/>
      <c r="C229" s="151">
        <v>8110</v>
      </c>
      <c r="D229" s="169" t="s">
        <v>506</v>
      </c>
      <c r="E229" s="187">
        <v>77340</v>
      </c>
      <c r="F229" s="170">
        <v>77339.45</v>
      </c>
      <c r="G229" s="171">
        <f t="shared" si="3"/>
        <v>99.999288854409102</v>
      </c>
    </row>
    <row r="230" spans="1:7">
      <c r="A230" s="161">
        <v>801</v>
      </c>
      <c r="B230" s="161"/>
      <c r="C230" s="161"/>
      <c r="D230" s="162" t="s">
        <v>76</v>
      </c>
      <c r="E230" s="206">
        <f>E231+E253+E276+E361+E384+E475+E507+E460+E497+E473</f>
        <v>12530674.68</v>
      </c>
      <c r="F230" s="206">
        <f>F231+F253+F276+F361+F384+F475+F507+F460+F497+F473</f>
        <v>12432383.17</v>
      </c>
      <c r="G230" s="164">
        <f t="shared" si="3"/>
        <v>99.215592835101845</v>
      </c>
    </row>
    <row r="231" spans="1:7">
      <c r="A231" s="867"/>
      <c r="B231" s="165">
        <v>80102</v>
      </c>
      <c r="C231" s="165"/>
      <c r="D231" s="172" t="s">
        <v>77</v>
      </c>
      <c r="E231" s="182">
        <f>E232+E251</f>
        <v>1036053</v>
      </c>
      <c r="F231" s="167">
        <f>F232+F251</f>
        <v>1036051.53</v>
      </c>
      <c r="G231" s="168">
        <f t="shared" si="3"/>
        <v>99.999858115366692</v>
      </c>
    </row>
    <row r="232" spans="1:7">
      <c r="A232" s="868"/>
      <c r="B232" s="867"/>
      <c r="C232" s="165"/>
      <c r="D232" s="177" t="s">
        <v>303</v>
      </c>
      <c r="E232" s="230">
        <f>SUM(E233:E250)</f>
        <v>1035053</v>
      </c>
      <c r="F232" s="178">
        <f>SUM(F233:F250)</f>
        <v>1035051.53</v>
      </c>
      <c r="G232" s="183">
        <f t="shared" si="3"/>
        <v>99.999857978287096</v>
      </c>
    </row>
    <row r="233" spans="1:7" s="4" customFormat="1">
      <c r="A233" s="868"/>
      <c r="B233" s="868"/>
      <c r="C233" s="151">
        <v>3020</v>
      </c>
      <c r="D233" s="169" t="s">
        <v>166</v>
      </c>
      <c r="E233" s="187">
        <v>2876</v>
      </c>
      <c r="F233" s="170">
        <v>2876</v>
      </c>
      <c r="G233" s="171">
        <f t="shared" si="3"/>
        <v>100</v>
      </c>
    </row>
    <row r="234" spans="1:7">
      <c r="A234" s="868"/>
      <c r="B234" s="868"/>
      <c r="C234" s="151">
        <v>4010</v>
      </c>
      <c r="D234" s="169" t="s">
        <v>167</v>
      </c>
      <c r="E234" s="187">
        <v>696100</v>
      </c>
      <c r="F234" s="170">
        <v>696100</v>
      </c>
      <c r="G234" s="171">
        <f t="shared" si="3"/>
        <v>100</v>
      </c>
    </row>
    <row r="235" spans="1:7">
      <c r="A235" s="868"/>
      <c r="B235" s="868"/>
      <c r="C235" s="151">
        <v>4040</v>
      </c>
      <c r="D235" s="169" t="s">
        <v>168</v>
      </c>
      <c r="E235" s="187">
        <v>55101</v>
      </c>
      <c r="F235" s="170">
        <v>55101</v>
      </c>
      <c r="G235" s="171">
        <f t="shared" si="3"/>
        <v>100</v>
      </c>
    </row>
    <row r="236" spans="1:7">
      <c r="A236" s="868"/>
      <c r="B236" s="868"/>
      <c r="C236" s="151">
        <v>4110</v>
      </c>
      <c r="D236" s="169" t="s">
        <v>169</v>
      </c>
      <c r="E236" s="187">
        <v>111163</v>
      </c>
      <c r="F236" s="170">
        <v>111163</v>
      </c>
      <c r="G236" s="171">
        <f t="shared" si="3"/>
        <v>100</v>
      </c>
    </row>
    <row r="237" spans="1:7">
      <c r="A237" s="868"/>
      <c r="B237" s="868"/>
      <c r="C237" s="151">
        <v>4120</v>
      </c>
      <c r="D237" s="169" t="s">
        <v>191</v>
      </c>
      <c r="E237" s="187">
        <v>17390</v>
      </c>
      <c r="F237" s="170">
        <v>17390</v>
      </c>
      <c r="G237" s="171">
        <f t="shared" si="3"/>
        <v>100</v>
      </c>
    </row>
    <row r="238" spans="1:7">
      <c r="A238" s="868"/>
      <c r="B238" s="868"/>
      <c r="C238" s="151">
        <v>4170</v>
      </c>
      <c r="D238" s="169" t="s">
        <v>170</v>
      </c>
      <c r="E238" s="187">
        <v>441</v>
      </c>
      <c r="F238" s="170">
        <v>440.9</v>
      </c>
      <c r="G238" s="171">
        <f t="shared" si="3"/>
        <v>99.977324263038554</v>
      </c>
    </row>
    <row r="239" spans="1:7">
      <c r="A239" s="868"/>
      <c r="B239" s="868"/>
      <c r="C239" s="151">
        <v>4210</v>
      </c>
      <c r="D239" s="169" t="s">
        <v>171</v>
      </c>
      <c r="E239" s="187">
        <v>21732</v>
      </c>
      <c r="F239" s="170">
        <v>21732</v>
      </c>
      <c r="G239" s="171">
        <f t="shared" si="3"/>
        <v>100</v>
      </c>
    </row>
    <row r="240" spans="1:7">
      <c r="A240" s="868"/>
      <c r="B240" s="868"/>
      <c r="C240" s="151">
        <v>4240</v>
      </c>
      <c r="D240" s="169" t="s">
        <v>357</v>
      </c>
      <c r="E240" s="187">
        <v>521</v>
      </c>
      <c r="F240" s="170">
        <v>521</v>
      </c>
      <c r="G240" s="171">
        <f t="shared" si="3"/>
        <v>100</v>
      </c>
    </row>
    <row r="241" spans="1:7">
      <c r="A241" s="868"/>
      <c r="B241" s="868"/>
      <c r="C241" s="151">
        <v>4260</v>
      </c>
      <c r="D241" s="169" t="s">
        <v>172</v>
      </c>
      <c r="E241" s="187">
        <v>54966</v>
      </c>
      <c r="F241" s="170">
        <v>54965.41</v>
      </c>
      <c r="G241" s="171">
        <f t="shared" si="3"/>
        <v>99.998926609176578</v>
      </c>
    </row>
    <row r="242" spans="1:7">
      <c r="A242" s="868"/>
      <c r="B242" s="868"/>
      <c r="C242" s="151">
        <v>4280</v>
      </c>
      <c r="D242" s="169" t="s">
        <v>174</v>
      </c>
      <c r="E242" s="187">
        <v>721</v>
      </c>
      <c r="F242" s="170">
        <v>721</v>
      </c>
      <c r="G242" s="171">
        <f t="shared" si="3"/>
        <v>100</v>
      </c>
    </row>
    <row r="243" spans="1:7">
      <c r="A243" s="868"/>
      <c r="B243" s="868"/>
      <c r="C243" s="151">
        <v>4300</v>
      </c>
      <c r="D243" s="169" t="s">
        <v>161</v>
      </c>
      <c r="E243" s="187">
        <v>15600</v>
      </c>
      <c r="F243" s="170">
        <v>15600</v>
      </c>
      <c r="G243" s="171">
        <f t="shared" si="3"/>
        <v>100</v>
      </c>
    </row>
    <row r="244" spans="1:7">
      <c r="A244" s="868"/>
      <c r="B244" s="868"/>
      <c r="C244" s="151">
        <v>4350</v>
      </c>
      <c r="D244" s="169" t="s">
        <v>175</v>
      </c>
      <c r="E244" s="187">
        <v>348</v>
      </c>
      <c r="F244" s="170">
        <v>348</v>
      </c>
      <c r="G244" s="171">
        <f t="shared" si="3"/>
        <v>100</v>
      </c>
    </row>
    <row r="245" spans="1:7" ht="22.5">
      <c r="A245" s="868"/>
      <c r="B245" s="868"/>
      <c r="C245" s="151">
        <v>4370</v>
      </c>
      <c r="D245" s="173" t="s">
        <v>362</v>
      </c>
      <c r="E245" s="187">
        <v>4152</v>
      </c>
      <c r="F245" s="170">
        <v>4151.22</v>
      </c>
      <c r="G245" s="171">
        <f t="shared" si="3"/>
        <v>99.98121387283237</v>
      </c>
    </row>
    <row r="246" spans="1:7">
      <c r="A246" s="868"/>
      <c r="B246" s="868"/>
      <c r="C246" s="151">
        <v>4410</v>
      </c>
      <c r="D246" s="169" t="s">
        <v>176</v>
      </c>
      <c r="E246" s="187">
        <v>3301</v>
      </c>
      <c r="F246" s="170">
        <v>3301</v>
      </c>
      <c r="G246" s="171">
        <f t="shared" si="3"/>
        <v>100</v>
      </c>
    </row>
    <row r="247" spans="1:7">
      <c r="A247" s="868"/>
      <c r="B247" s="868"/>
      <c r="C247" s="151">
        <v>4440</v>
      </c>
      <c r="D247" s="169" t="s">
        <v>363</v>
      </c>
      <c r="E247" s="187">
        <v>46674</v>
      </c>
      <c r="F247" s="170">
        <v>46674</v>
      </c>
      <c r="G247" s="171">
        <f t="shared" si="3"/>
        <v>100</v>
      </c>
    </row>
    <row r="248" spans="1:7" ht="22.5">
      <c r="A248" s="868"/>
      <c r="B248" s="868"/>
      <c r="C248" s="151">
        <v>4700</v>
      </c>
      <c r="D248" s="173" t="s">
        <v>365</v>
      </c>
      <c r="E248" s="187">
        <v>2690</v>
      </c>
      <c r="F248" s="170">
        <v>2690</v>
      </c>
      <c r="G248" s="171">
        <f t="shared" si="3"/>
        <v>100</v>
      </c>
    </row>
    <row r="249" spans="1:7" ht="22.5">
      <c r="A249" s="868"/>
      <c r="B249" s="868"/>
      <c r="C249" s="151">
        <v>4740</v>
      </c>
      <c r="D249" s="173" t="s">
        <v>366</v>
      </c>
      <c r="E249" s="187">
        <v>800</v>
      </c>
      <c r="F249" s="170">
        <v>800</v>
      </c>
      <c r="G249" s="171">
        <f t="shared" si="3"/>
        <v>100</v>
      </c>
    </row>
    <row r="250" spans="1:7" ht="22.5">
      <c r="A250" s="868"/>
      <c r="B250" s="868"/>
      <c r="C250" s="151">
        <v>4750</v>
      </c>
      <c r="D250" s="173" t="s">
        <v>367</v>
      </c>
      <c r="E250" s="187">
        <v>477</v>
      </c>
      <c r="F250" s="170">
        <v>477</v>
      </c>
      <c r="G250" s="171">
        <f t="shared" si="3"/>
        <v>100</v>
      </c>
    </row>
    <row r="251" spans="1:7">
      <c r="A251" s="868"/>
      <c r="B251" s="868"/>
      <c r="C251" s="151"/>
      <c r="D251" s="194" t="s">
        <v>193</v>
      </c>
      <c r="E251" s="230">
        <f>E252</f>
        <v>1000</v>
      </c>
      <c r="F251" s="178">
        <f>F252</f>
        <v>1000</v>
      </c>
      <c r="G251" s="183">
        <f t="shared" si="3"/>
        <v>100</v>
      </c>
    </row>
    <row r="252" spans="1:7">
      <c r="A252" s="868"/>
      <c r="B252" s="869"/>
      <c r="C252" s="151">
        <v>4210</v>
      </c>
      <c r="D252" s="169" t="s">
        <v>171</v>
      </c>
      <c r="E252" s="187">
        <v>1000</v>
      </c>
      <c r="F252" s="170">
        <v>1000</v>
      </c>
      <c r="G252" s="171">
        <f t="shared" si="3"/>
        <v>100</v>
      </c>
    </row>
    <row r="253" spans="1:7">
      <c r="A253" s="868"/>
      <c r="B253" s="165">
        <v>80111</v>
      </c>
      <c r="C253" s="165"/>
      <c r="D253" s="172" t="s">
        <v>78</v>
      </c>
      <c r="E253" s="182">
        <f>E254+E267+E274</f>
        <v>920397</v>
      </c>
      <c r="F253" s="167">
        <f>F254+F267+F274</f>
        <v>920396.54</v>
      </c>
      <c r="G253" s="175">
        <f t="shared" si="3"/>
        <v>99.999950021566775</v>
      </c>
    </row>
    <row r="254" spans="1:7" s="146" customFormat="1">
      <c r="A254" s="868"/>
      <c r="B254" s="867"/>
      <c r="C254" s="176"/>
      <c r="D254" s="177" t="s">
        <v>232</v>
      </c>
      <c r="E254" s="230">
        <f>SUM(E255:E266)</f>
        <v>368170</v>
      </c>
      <c r="F254" s="178">
        <f>SUM(F255:F266)</f>
        <v>368169.54</v>
      </c>
      <c r="G254" s="179">
        <f t="shared" si="3"/>
        <v>99.999875057717901</v>
      </c>
    </row>
    <row r="255" spans="1:7">
      <c r="A255" s="868"/>
      <c r="B255" s="868"/>
      <c r="C255" s="151">
        <v>3020</v>
      </c>
      <c r="D255" s="169" t="s">
        <v>166</v>
      </c>
      <c r="E255" s="187">
        <v>23850</v>
      </c>
      <c r="F255" s="170">
        <v>23850</v>
      </c>
      <c r="G255" s="180">
        <f t="shared" si="3"/>
        <v>100</v>
      </c>
    </row>
    <row r="256" spans="1:7">
      <c r="A256" s="868"/>
      <c r="B256" s="868"/>
      <c r="C256" s="151">
        <v>4010</v>
      </c>
      <c r="D256" s="169" t="s">
        <v>167</v>
      </c>
      <c r="E256" s="187">
        <v>238060</v>
      </c>
      <c r="F256" s="170">
        <v>238060</v>
      </c>
      <c r="G256" s="180">
        <f t="shared" si="3"/>
        <v>100</v>
      </c>
    </row>
    <row r="257" spans="1:7">
      <c r="A257" s="868"/>
      <c r="B257" s="868"/>
      <c r="C257" s="151">
        <v>4040</v>
      </c>
      <c r="D257" s="169" t="s">
        <v>168</v>
      </c>
      <c r="E257" s="187">
        <v>17518</v>
      </c>
      <c r="F257" s="170">
        <v>17517.54</v>
      </c>
      <c r="G257" s="180">
        <f t="shared" si="3"/>
        <v>99.997374129466834</v>
      </c>
    </row>
    <row r="258" spans="1:7">
      <c r="A258" s="868"/>
      <c r="B258" s="868"/>
      <c r="C258" s="151">
        <v>4110</v>
      </c>
      <c r="D258" s="169" t="s">
        <v>169</v>
      </c>
      <c r="E258" s="187">
        <v>51294</v>
      </c>
      <c r="F258" s="170">
        <v>51294</v>
      </c>
      <c r="G258" s="180">
        <f t="shared" si="3"/>
        <v>100</v>
      </c>
    </row>
    <row r="259" spans="1:7">
      <c r="A259" s="868"/>
      <c r="B259" s="868"/>
      <c r="C259" s="151">
        <v>4120</v>
      </c>
      <c r="D259" s="169" t="s">
        <v>191</v>
      </c>
      <c r="E259" s="187">
        <v>6735</v>
      </c>
      <c r="F259" s="170">
        <v>6735</v>
      </c>
      <c r="G259" s="180">
        <f t="shared" si="3"/>
        <v>100</v>
      </c>
    </row>
    <row r="260" spans="1:7">
      <c r="A260" s="868"/>
      <c r="B260" s="868"/>
      <c r="C260" s="151">
        <v>4210</v>
      </c>
      <c r="D260" s="169" t="s">
        <v>171</v>
      </c>
      <c r="E260" s="187">
        <v>10000</v>
      </c>
      <c r="F260" s="170">
        <v>10000</v>
      </c>
      <c r="G260" s="180">
        <f t="shared" si="3"/>
        <v>100</v>
      </c>
    </row>
    <row r="261" spans="1:7">
      <c r="A261" s="868"/>
      <c r="B261" s="868"/>
      <c r="C261" s="151">
        <v>4240</v>
      </c>
      <c r="D261" s="169" t="s">
        <v>357</v>
      </c>
      <c r="E261" s="187">
        <v>1400</v>
      </c>
      <c r="F261" s="170">
        <v>1400</v>
      </c>
      <c r="G261" s="180">
        <f t="shared" si="3"/>
        <v>100</v>
      </c>
    </row>
    <row r="262" spans="1:7">
      <c r="A262" s="868"/>
      <c r="B262" s="868"/>
      <c r="C262" s="151">
        <v>4260</v>
      </c>
      <c r="D262" s="169" t="s">
        <v>172</v>
      </c>
      <c r="E262" s="187">
        <v>500</v>
      </c>
      <c r="F262" s="170">
        <v>500</v>
      </c>
      <c r="G262" s="180">
        <f t="shared" si="3"/>
        <v>100</v>
      </c>
    </row>
    <row r="263" spans="1:7">
      <c r="A263" s="868"/>
      <c r="B263" s="868"/>
      <c r="C263" s="151">
        <v>4280</v>
      </c>
      <c r="D263" s="169" t="s">
        <v>174</v>
      </c>
      <c r="E263" s="187">
        <v>500</v>
      </c>
      <c r="F263" s="170">
        <v>500</v>
      </c>
      <c r="G263" s="180">
        <f t="shared" si="3"/>
        <v>100</v>
      </c>
    </row>
    <row r="264" spans="1:7">
      <c r="A264" s="868"/>
      <c r="B264" s="868"/>
      <c r="C264" s="151">
        <v>4300</v>
      </c>
      <c r="D264" s="169" t="s">
        <v>161</v>
      </c>
      <c r="E264" s="187">
        <v>3000</v>
      </c>
      <c r="F264" s="170">
        <v>3000</v>
      </c>
      <c r="G264" s="180">
        <f t="shared" si="3"/>
        <v>100</v>
      </c>
    </row>
    <row r="265" spans="1:7">
      <c r="A265" s="868"/>
      <c r="B265" s="868"/>
      <c r="C265" s="151">
        <v>4350</v>
      </c>
      <c r="D265" s="169" t="s">
        <v>175</v>
      </c>
      <c r="E265" s="187">
        <v>700</v>
      </c>
      <c r="F265" s="170">
        <v>700</v>
      </c>
      <c r="G265" s="180">
        <f t="shared" si="3"/>
        <v>100</v>
      </c>
    </row>
    <row r="266" spans="1:7">
      <c r="A266" s="868"/>
      <c r="B266" s="868"/>
      <c r="C266" s="151">
        <v>4440</v>
      </c>
      <c r="D266" s="169" t="s">
        <v>363</v>
      </c>
      <c r="E266" s="187">
        <v>14613</v>
      </c>
      <c r="F266" s="170">
        <v>14613</v>
      </c>
      <c r="G266" s="180">
        <f t="shared" si="3"/>
        <v>100</v>
      </c>
    </row>
    <row r="267" spans="1:7">
      <c r="A267" s="868"/>
      <c r="B267" s="868"/>
      <c r="C267" s="151"/>
      <c r="D267" s="177" t="s">
        <v>303</v>
      </c>
      <c r="E267" s="182">
        <f>SUM(E268:E273)</f>
        <v>547835</v>
      </c>
      <c r="F267" s="167">
        <f>SUM(F268:F273)</f>
        <v>547835</v>
      </c>
      <c r="G267" s="168">
        <f t="shared" si="3"/>
        <v>100</v>
      </c>
    </row>
    <row r="268" spans="1:7">
      <c r="A268" s="868"/>
      <c r="B268" s="868"/>
      <c r="C268" s="151">
        <v>3020</v>
      </c>
      <c r="D268" s="169" t="s">
        <v>166</v>
      </c>
      <c r="E268" s="187">
        <v>1470</v>
      </c>
      <c r="F268" s="170">
        <v>1470</v>
      </c>
      <c r="G268" s="171">
        <f t="shared" si="3"/>
        <v>100</v>
      </c>
    </row>
    <row r="269" spans="1:7">
      <c r="A269" s="868"/>
      <c r="B269" s="868"/>
      <c r="C269" s="151">
        <v>4010</v>
      </c>
      <c r="D269" s="169" t="s">
        <v>167</v>
      </c>
      <c r="E269" s="187">
        <v>425712</v>
      </c>
      <c r="F269" s="170">
        <v>425712</v>
      </c>
      <c r="G269" s="171">
        <f t="shared" si="3"/>
        <v>100</v>
      </c>
    </row>
    <row r="270" spans="1:7">
      <c r="A270" s="868"/>
      <c r="B270" s="868"/>
      <c r="C270" s="151">
        <v>4040</v>
      </c>
      <c r="D270" s="169" t="s">
        <v>168</v>
      </c>
      <c r="E270" s="187">
        <v>26466</v>
      </c>
      <c r="F270" s="170">
        <v>26466</v>
      </c>
      <c r="G270" s="171">
        <f t="shared" si="3"/>
        <v>100</v>
      </c>
    </row>
    <row r="271" spans="1:7">
      <c r="A271" s="868"/>
      <c r="B271" s="868"/>
      <c r="C271" s="151">
        <v>4110</v>
      </c>
      <c r="D271" s="169" t="s">
        <v>169</v>
      </c>
      <c r="E271" s="187">
        <v>61913</v>
      </c>
      <c r="F271" s="170">
        <v>61913</v>
      </c>
      <c r="G271" s="171">
        <f t="shared" si="3"/>
        <v>100</v>
      </c>
    </row>
    <row r="272" spans="1:7">
      <c r="A272" s="868"/>
      <c r="B272" s="868"/>
      <c r="C272" s="151">
        <v>4120</v>
      </c>
      <c r="D272" s="169" t="s">
        <v>191</v>
      </c>
      <c r="E272" s="187">
        <v>10407</v>
      </c>
      <c r="F272" s="170">
        <v>10407</v>
      </c>
      <c r="G272" s="171">
        <f t="shared" si="3"/>
        <v>100</v>
      </c>
    </row>
    <row r="273" spans="1:7">
      <c r="A273" s="868"/>
      <c r="B273" s="868"/>
      <c r="C273" s="151">
        <v>4440</v>
      </c>
      <c r="D273" s="169" t="s">
        <v>363</v>
      </c>
      <c r="E273" s="187">
        <v>21867</v>
      </c>
      <c r="F273" s="170">
        <v>21867</v>
      </c>
      <c r="G273" s="171">
        <f t="shared" ref="G273:G296" si="4">F273*100/E273</f>
        <v>100</v>
      </c>
    </row>
    <row r="274" spans="1:7">
      <c r="A274" s="868"/>
      <c r="B274" s="868"/>
      <c r="C274" s="151"/>
      <c r="D274" s="177" t="s">
        <v>417</v>
      </c>
      <c r="E274" s="230">
        <f>E275</f>
        <v>4392</v>
      </c>
      <c r="F274" s="178">
        <f>F275</f>
        <v>4392</v>
      </c>
      <c r="G274" s="183">
        <f t="shared" si="4"/>
        <v>100</v>
      </c>
    </row>
    <row r="275" spans="1:7">
      <c r="A275" s="868"/>
      <c r="B275" s="869"/>
      <c r="C275" s="151">
        <v>6050</v>
      </c>
      <c r="D275" s="173" t="s">
        <v>165</v>
      </c>
      <c r="E275" s="187">
        <v>4392</v>
      </c>
      <c r="F275" s="170">
        <v>4392</v>
      </c>
      <c r="G275" s="171">
        <f t="shared" si="4"/>
        <v>100</v>
      </c>
    </row>
    <row r="276" spans="1:7">
      <c r="A276" s="868"/>
      <c r="B276" s="165">
        <v>80120</v>
      </c>
      <c r="C276" s="165"/>
      <c r="D276" s="172" t="s">
        <v>79</v>
      </c>
      <c r="E276" s="182">
        <f>E277+E297+E315+E337+E357</f>
        <v>4301740</v>
      </c>
      <c r="F276" s="167">
        <f>F277+F297+F315+F337+F357</f>
        <v>4299812.38</v>
      </c>
      <c r="G276" s="175">
        <f t="shared" si="4"/>
        <v>99.955189760422527</v>
      </c>
    </row>
    <row r="277" spans="1:7">
      <c r="A277" s="868"/>
      <c r="B277" s="870"/>
      <c r="C277" s="176"/>
      <c r="D277" s="177" t="s">
        <v>352</v>
      </c>
      <c r="E277" s="230">
        <f>SUM(E278:E296)</f>
        <v>2367792</v>
      </c>
      <c r="F277" s="230">
        <f>SUM(F278:F296)</f>
        <v>2367792</v>
      </c>
      <c r="G277" s="175">
        <f t="shared" si="4"/>
        <v>100</v>
      </c>
    </row>
    <row r="278" spans="1:7">
      <c r="A278" s="868"/>
      <c r="B278" s="871"/>
      <c r="C278" s="151">
        <v>3020</v>
      </c>
      <c r="D278" s="169" t="s">
        <v>166</v>
      </c>
      <c r="E278" s="187">
        <v>10322.25</v>
      </c>
      <c r="F278" s="170">
        <v>10322.25</v>
      </c>
      <c r="G278" s="180">
        <f t="shared" si="4"/>
        <v>100</v>
      </c>
    </row>
    <row r="279" spans="1:7">
      <c r="A279" s="868"/>
      <c r="B279" s="871"/>
      <c r="C279" s="151">
        <v>4010</v>
      </c>
      <c r="D279" s="169" t="s">
        <v>167</v>
      </c>
      <c r="E279" s="187">
        <v>1480277.04</v>
      </c>
      <c r="F279" s="170">
        <v>1480277.04</v>
      </c>
      <c r="G279" s="180">
        <f t="shared" si="4"/>
        <v>100</v>
      </c>
    </row>
    <row r="280" spans="1:7">
      <c r="A280" s="868"/>
      <c r="B280" s="871"/>
      <c r="C280" s="151">
        <v>4040</v>
      </c>
      <c r="D280" s="169" t="s">
        <v>168</v>
      </c>
      <c r="E280" s="187">
        <v>108960.64</v>
      </c>
      <c r="F280" s="170">
        <v>108960.64</v>
      </c>
      <c r="G280" s="180">
        <f t="shared" si="4"/>
        <v>100</v>
      </c>
    </row>
    <row r="281" spans="1:7">
      <c r="A281" s="868"/>
      <c r="B281" s="871"/>
      <c r="C281" s="151">
        <v>4110</v>
      </c>
      <c r="D281" s="169" t="s">
        <v>169</v>
      </c>
      <c r="E281" s="187">
        <v>235804.4</v>
      </c>
      <c r="F281" s="170">
        <v>235804.4</v>
      </c>
      <c r="G281" s="180">
        <f t="shared" si="4"/>
        <v>100</v>
      </c>
    </row>
    <row r="282" spans="1:7">
      <c r="A282" s="868"/>
      <c r="B282" s="871"/>
      <c r="C282" s="151">
        <v>4120</v>
      </c>
      <c r="D282" s="169" t="s">
        <v>191</v>
      </c>
      <c r="E282" s="187">
        <v>40225.08</v>
      </c>
      <c r="F282" s="170">
        <v>40225.08</v>
      </c>
      <c r="G282" s="180">
        <f t="shared" si="4"/>
        <v>100</v>
      </c>
    </row>
    <row r="283" spans="1:7">
      <c r="A283" s="868"/>
      <c r="B283" s="871"/>
      <c r="C283" s="151">
        <v>4170</v>
      </c>
      <c r="D283" s="169" t="s">
        <v>170</v>
      </c>
      <c r="E283" s="187">
        <v>16627</v>
      </c>
      <c r="F283" s="170">
        <v>16627</v>
      </c>
      <c r="G283" s="180">
        <f t="shared" si="4"/>
        <v>100</v>
      </c>
    </row>
    <row r="284" spans="1:7">
      <c r="A284" s="868"/>
      <c r="B284" s="871"/>
      <c r="C284" s="151">
        <v>4210</v>
      </c>
      <c r="D284" s="169" t="s">
        <v>171</v>
      </c>
      <c r="E284" s="187">
        <v>61409.02</v>
      </c>
      <c r="F284" s="170">
        <v>61409.02</v>
      </c>
      <c r="G284" s="180">
        <f t="shared" si="4"/>
        <v>100</v>
      </c>
    </row>
    <row r="285" spans="1:7">
      <c r="A285" s="868"/>
      <c r="B285" s="871"/>
      <c r="C285" s="151">
        <v>4240</v>
      </c>
      <c r="D285" s="169" t="s">
        <v>357</v>
      </c>
      <c r="E285" s="187">
        <v>2472</v>
      </c>
      <c r="F285" s="170">
        <v>2472</v>
      </c>
      <c r="G285" s="180">
        <f t="shared" si="4"/>
        <v>100</v>
      </c>
    </row>
    <row r="286" spans="1:7">
      <c r="A286" s="868"/>
      <c r="B286" s="871"/>
      <c r="C286" s="151">
        <v>4260</v>
      </c>
      <c r="D286" s="169" t="s">
        <v>172</v>
      </c>
      <c r="E286" s="187">
        <v>233201.75</v>
      </c>
      <c r="F286" s="170">
        <v>233201.75</v>
      </c>
      <c r="G286" s="180">
        <f t="shared" si="4"/>
        <v>100</v>
      </c>
    </row>
    <row r="287" spans="1:7">
      <c r="A287" s="868"/>
      <c r="B287" s="871"/>
      <c r="C287" s="151">
        <v>4270</v>
      </c>
      <c r="D287" s="169" t="s">
        <v>173</v>
      </c>
      <c r="E287" s="187">
        <v>22536.74</v>
      </c>
      <c r="F287" s="170">
        <v>22536.74</v>
      </c>
      <c r="G287" s="180">
        <f t="shared" si="4"/>
        <v>100</v>
      </c>
    </row>
    <row r="288" spans="1:7">
      <c r="A288" s="868"/>
      <c r="B288" s="871"/>
      <c r="C288" s="151">
        <v>4280</v>
      </c>
      <c r="D288" s="169" t="s">
        <v>174</v>
      </c>
      <c r="E288" s="187">
        <v>1284</v>
      </c>
      <c r="F288" s="170">
        <v>1284</v>
      </c>
      <c r="G288" s="180">
        <f t="shared" si="4"/>
        <v>100</v>
      </c>
    </row>
    <row r="289" spans="1:7">
      <c r="A289" s="868"/>
      <c r="B289" s="871"/>
      <c r="C289" s="151">
        <v>4300</v>
      </c>
      <c r="D289" s="169" t="s">
        <v>161</v>
      </c>
      <c r="E289" s="187">
        <v>23826.95</v>
      </c>
      <c r="F289" s="170">
        <v>23826.95</v>
      </c>
      <c r="G289" s="180">
        <f t="shared" si="4"/>
        <v>100</v>
      </c>
    </row>
    <row r="290" spans="1:7">
      <c r="A290" s="868"/>
      <c r="B290" s="871"/>
      <c r="C290" s="151">
        <v>4350</v>
      </c>
      <c r="D290" s="169" t="s">
        <v>175</v>
      </c>
      <c r="E290" s="187">
        <v>1903.87</v>
      </c>
      <c r="F290" s="170">
        <v>1903.87</v>
      </c>
      <c r="G290" s="180">
        <f t="shared" si="4"/>
        <v>100</v>
      </c>
    </row>
    <row r="291" spans="1:7" ht="22.5">
      <c r="A291" s="868"/>
      <c r="B291" s="871"/>
      <c r="C291" s="151">
        <v>4370</v>
      </c>
      <c r="D291" s="173" t="s">
        <v>362</v>
      </c>
      <c r="E291" s="187">
        <v>4308.87</v>
      </c>
      <c r="F291" s="170">
        <v>4308.87</v>
      </c>
      <c r="G291" s="180">
        <f t="shared" si="4"/>
        <v>100</v>
      </c>
    </row>
    <row r="292" spans="1:7">
      <c r="A292" s="868"/>
      <c r="B292" s="871"/>
      <c r="C292" s="151">
        <v>4410</v>
      </c>
      <c r="D292" s="169" t="s">
        <v>176</v>
      </c>
      <c r="E292" s="187">
        <v>1941.38</v>
      </c>
      <c r="F292" s="170">
        <v>1941.38</v>
      </c>
      <c r="G292" s="180">
        <f t="shared" si="4"/>
        <v>100</v>
      </c>
    </row>
    <row r="293" spans="1:7">
      <c r="A293" s="868"/>
      <c r="B293" s="871"/>
      <c r="C293" s="151">
        <v>4440</v>
      </c>
      <c r="D293" s="169" t="s">
        <v>363</v>
      </c>
      <c r="E293" s="187">
        <v>115384</v>
      </c>
      <c r="F293" s="170">
        <v>115384</v>
      </c>
      <c r="G293" s="180">
        <f t="shared" si="4"/>
        <v>100</v>
      </c>
    </row>
    <row r="294" spans="1:7" ht="22.5">
      <c r="A294" s="868"/>
      <c r="B294" s="871"/>
      <c r="C294" s="151">
        <v>4700</v>
      </c>
      <c r="D294" s="173" t="s">
        <v>365</v>
      </c>
      <c r="E294" s="187">
        <v>450</v>
      </c>
      <c r="F294" s="170">
        <v>450</v>
      </c>
      <c r="G294" s="171">
        <f t="shared" si="4"/>
        <v>100</v>
      </c>
    </row>
    <row r="295" spans="1:7" ht="22.5">
      <c r="A295" s="868"/>
      <c r="B295" s="871"/>
      <c r="C295" s="151">
        <v>4740</v>
      </c>
      <c r="D295" s="173" t="s">
        <v>366</v>
      </c>
      <c r="E295" s="187">
        <v>515</v>
      </c>
      <c r="F295" s="170">
        <v>515</v>
      </c>
      <c r="G295" s="171">
        <f t="shared" si="4"/>
        <v>100</v>
      </c>
    </row>
    <row r="296" spans="1:7" ht="22.5">
      <c r="A296" s="868"/>
      <c r="B296" s="871"/>
      <c r="C296" s="151">
        <v>4750</v>
      </c>
      <c r="D296" s="173" t="s">
        <v>367</v>
      </c>
      <c r="E296" s="187">
        <v>6342.01</v>
      </c>
      <c r="F296" s="170">
        <v>6342.01</v>
      </c>
      <c r="G296" s="171">
        <f t="shared" si="4"/>
        <v>100</v>
      </c>
    </row>
    <row r="297" spans="1:7">
      <c r="A297" s="868"/>
      <c r="B297" s="871"/>
      <c r="C297" s="181"/>
      <c r="D297" s="177" t="s">
        <v>305</v>
      </c>
      <c r="E297" s="230">
        <f>SUM(E298:E314)</f>
        <v>919639</v>
      </c>
      <c r="F297" s="178">
        <f>SUM(F298:F314)</f>
        <v>919639.36999999988</v>
      </c>
      <c r="G297" s="175">
        <f t="shared" ref="G297:G339" si="5">F297*100/E297</f>
        <v>100.00004023317844</v>
      </c>
    </row>
    <row r="298" spans="1:7">
      <c r="A298" s="868"/>
      <c r="B298" s="871"/>
      <c r="C298" s="151">
        <v>3020</v>
      </c>
      <c r="D298" s="169" t="s">
        <v>166</v>
      </c>
      <c r="E298" s="187">
        <v>50280</v>
      </c>
      <c r="F298" s="170">
        <v>50279.74</v>
      </c>
      <c r="G298" s="171">
        <f t="shared" si="5"/>
        <v>99.999482895783615</v>
      </c>
    </row>
    <row r="299" spans="1:7">
      <c r="A299" s="868"/>
      <c r="B299" s="871"/>
      <c r="C299" s="151">
        <v>4010</v>
      </c>
      <c r="D299" s="169" t="s">
        <v>167</v>
      </c>
      <c r="E299" s="187">
        <v>560937</v>
      </c>
      <c r="F299" s="170">
        <v>560937</v>
      </c>
      <c r="G299" s="171">
        <f t="shared" si="5"/>
        <v>100</v>
      </c>
    </row>
    <row r="300" spans="1:7">
      <c r="A300" s="868"/>
      <c r="B300" s="871"/>
      <c r="C300" s="151">
        <v>4040</v>
      </c>
      <c r="D300" s="169" t="s">
        <v>168</v>
      </c>
      <c r="E300" s="187">
        <v>40553</v>
      </c>
      <c r="F300" s="170">
        <v>40553</v>
      </c>
      <c r="G300" s="171">
        <f t="shared" si="5"/>
        <v>100</v>
      </c>
    </row>
    <row r="301" spans="1:7">
      <c r="A301" s="868"/>
      <c r="B301" s="871"/>
      <c r="C301" s="151">
        <v>4110</v>
      </c>
      <c r="D301" s="169" t="s">
        <v>169</v>
      </c>
      <c r="E301" s="187">
        <v>96612</v>
      </c>
      <c r="F301" s="170">
        <v>96612</v>
      </c>
      <c r="G301" s="171">
        <f t="shared" si="5"/>
        <v>100</v>
      </c>
    </row>
    <row r="302" spans="1:7">
      <c r="A302" s="868"/>
      <c r="B302" s="871"/>
      <c r="C302" s="151">
        <v>4120</v>
      </c>
      <c r="D302" s="169" t="s">
        <v>191</v>
      </c>
      <c r="E302" s="187">
        <v>14803</v>
      </c>
      <c r="F302" s="170">
        <v>14803.47</v>
      </c>
      <c r="G302" s="171">
        <f t="shared" si="5"/>
        <v>100.00317503208809</v>
      </c>
    </row>
    <row r="303" spans="1:7" ht="24">
      <c r="A303" s="868"/>
      <c r="B303" s="871"/>
      <c r="C303" s="461">
        <v>4140</v>
      </c>
      <c r="D303" s="76" t="s">
        <v>218</v>
      </c>
      <c r="E303" s="187">
        <v>12274</v>
      </c>
      <c r="F303" s="170">
        <v>12274</v>
      </c>
      <c r="G303" s="171">
        <f t="shared" si="5"/>
        <v>100</v>
      </c>
    </row>
    <row r="304" spans="1:7">
      <c r="A304" s="868"/>
      <c r="B304" s="871"/>
      <c r="C304" s="151">
        <v>4170</v>
      </c>
      <c r="D304" s="169" t="s">
        <v>170</v>
      </c>
      <c r="E304" s="187">
        <v>6165</v>
      </c>
      <c r="F304" s="170">
        <v>6165</v>
      </c>
      <c r="G304" s="171">
        <f t="shared" si="5"/>
        <v>100</v>
      </c>
    </row>
    <row r="305" spans="1:7">
      <c r="A305" s="868"/>
      <c r="B305" s="871"/>
      <c r="C305" s="151">
        <v>4210</v>
      </c>
      <c r="D305" s="169" t="s">
        <v>171</v>
      </c>
      <c r="E305" s="187">
        <v>44126</v>
      </c>
      <c r="F305" s="170">
        <v>44125.94</v>
      </c>
      <c r="G305" s="171">
        <f t="shared" si="5"/>
        <v>99.999864025744458</v>
      </c>
    </row>
    <row r="306" spans="1:7">
      <c r="A306" s="868"/>
      <c r="B306" s="871"/>
      <c r="C306" s="151">
        <v>4240</v>
      </c>
      <c r="D306" s="169" t="s">
        <v>357</v>
      </c>
      <c r="E306" s="187">
        <v>1500</v>
      </c>
      <c r="F306" s="170">
        <v>1500.08</v>
      </c>
      <c r="G306" s="171">
        <f t="shared" si="5"/>
        <v>100.00533333333334</v>
      </c>
    </row>
    <row r="307" spans="1:7">
      <c r="A307" s="868"/>
      <c r="B307" s="871"/>
      <c r="C307" s="151">
        <v>4260</v>
      </c>
      <c r="D307" s="169" t="s">
        <v>172</v>
      </c>
      <c r="E307" s="187">
        <v>16385</v>
      </c>
      <c r="F307" s="170">
        <v>16385.490000000002</v>
      </c>
      <c r="G307" s="171">
        <f t="shared" si="5"/>
        <v>100.00299054012818</v>
      </c>
    </row>
    <row r="308" spans="1:7">
      <c r="A308" s="868"/>
      <c r="B308" s="871"/>
      <c r="C308" s="151">
        <v>4300</v>
      </c>
      <c r="D308" s="169" t="s">
        <v>161</v>
      </c>
      <c r="E308" s="187">
        <v>29908</v>
      </c>
      <c r="F308" s="170">
        <v>29908</v>
      </c>
      <c r="G308" s="171">
        <f t="shared" si="5"/>
        <v>100</v>
      </c>
    </row>
    <row r="309" spans="1:7" ht="22.5">
      <c r="A309" s="868"/>
      <c r="B309" s="871"/>
      <c r="C309" s="151">
        <v>4360</v>
      </c>
      <c r="D309" s="173" t="s">
        <v>361</v>
      </c>
      <c r="E309" s="187">
        <v>480</v>
      </c>
      <c r="F309" s="170">
        <v>480.57</v>
      </c>
      <c r="G309" s="171">
        <f t="shared" si="5"/>
        <v>100.11875000000001</v>
      </c>
    </row>
    <row r="310" spans="1:7" ht="22.5">
      <c r="A310" s="868"/>
      <c r="B310" s="871"/>
      <c r="C310" s="151">
        <v>4370</v>
      </c>
      <c r="D310" s="173" t="s">
        <v>362</v>
      </c>
      <c r="E310" s="187">
        <v>1035</v>
      </c>
      <c r="F310" s="170">
        <v>1034.56</v>
      </c>
      <c r="G310" s="171">
        <f t="shared" si="5"/>
        <v>99.957487922705312</v>
      </c>
    </row>
    <row r="311" spans="1:7">
      <c r="A311" s="868"/>
      <c r="B311" s="871"/>
      <c r="C311" s="151">
        <v>4410</v>
      </c>
      <c r="D311" s="169" t="s">
        <v>176</v>
      </c>
      <c r="E311" s="187">
        <v>1460</v>
      </c>
      <c r="F311" s="170">
        <v>1460</v>
      </c>
      <c r="G311" s="171">
        <f t="shared" si="5"/>
        <v>100</v>
      </c>
    </row>
    <row r="312" spans="1:7">
      <c r="A312" s="868"/>
      <c r="B312" s="871"/>
      <c r="C312" s="151">
        <v>4440</v>
      </c>
      <c r="D312" s="169" t="s">
        <v>363</v>
      </c>
      <c r="E312" s="187">
        <v>39027</v>
      </c>
      <c r="F312" s="170">
        <v>39027</v>
      </c>
      <c r="G312" s="171">
        <f t="shared" si="5"/>
        <v>100</v>
      </c>
    </row>
    <row r="313" spans="1:7" ht="24">
      <c r="A313" s="868"/>
      <c r="B313" s="871"/>
      <c r="C313" s="461">
        <v>4570</v>
      </c>
      <c r="D313" s="216" t="s">
        <v>432</v>
      </c>
      <c r="E313" s="187">
        <v>1594</v>
      </c>
      <c r="F313" s="170">
        <v>1594</v>
      </c>
      <c r="G313" s="171">
        <f t="shared" si="5"/>
        <v>100</v>
      </c>
    </row>
    <row r="314" spans="1:7" ht="22.5">
      <c r="A314" s="868"/>
      <c r="B314" s="871"/>
      <c r="C314" s="151">
        <v>4740</v>
      </c>
      <c r="D314" s="173" t="s">
        <v>366</v>
      </c>
      <c r="E314" s="187">
        <v>2500</v>
      </c>
      <c r="F314" s="170">
        <v>2499.52</v>
      </c>
      <c r="G314" s="171">
        <f t="shared" si="5"/>
        <v>99.980800000000002</v>
      </c>
    </row>
    <row r="315" spans="1:7">
      <c r="A315" s="868"/>
      <c r="B315" s="871"/>
      <c r="C315" s="176"/>
      <c r="D315" s="177" t="s">
        <v>306</v>
      </c>
      <c r="E315" s="182">
        <f>SUM(E316:E336)</f>
        <v>389257.00000000012</v>
      </c>
      <c r="F315" s="167">
        <f>SUM(F316:F336)</f>
        <v>389257.00000000012</v>
      </c>
      <c r="G315" s="175">
        <f t="shared" si="5"/>
        <v>100.00000000000001</v>
      </c>
    </row>
    <row r="316" spans="1:7">
      <c r="A316" s="868"/>
      <c r="B316" s="871"/>
      <c r="C316" s="151">
        <v>3020</v>
      </c>
      <c r="D316" s="169" t="s">
        <v>166</v>
      </c>
      <c r="E316" s="187">
        <v>202.2</v>
      </c>
      <c r="F316" s="170">
        <v>202.2</v>
      </c>
      <c r="G316" s="171">
        <f t="shared" si="5"/>
        <v>100</v>
      </c>
    </row>
    <row r="317" spans="1:7">
      <c r="A317" s="868"/>
      <c r="B317" s="871"/>
      <c r="C317" s="151">
        <v>4010</v>
      </c>
      <c r="D317" s="169" t="s">
        <v>167</v>
      </c>
      <c r="E317" s="187">
        <v>237127.42</v>
      </c>
      <c r="F317" s="170">
        <v>237127.42</v>
      </c>
      <c r="G317" s="171">
        <f t="shared" si="5"/>
        <v>100</v>
      </c>
    </row>
    <row r="318" spans="1:7">
      <c r="A318" s="868"/>
      <c r="B318" s="871"/>
      <c r="C318" s="151">
        <v>4040</v>
      </c>
      <c r="D318" s="169" t="s">
        <v>168</v>
      </c>
      <c r="E318" s="187">
        <v>15718.6</v>
      </c>
      <c r="F318" s="170">
        <v>15718.6</v>
      </c>
      <c r="G318" s="171">
        <f t="shared" si="5"/>
        <v>100</v>
      </c>
    </row>
    <row r="319" spans="1:7">
      <c r="A319" s="868"/>
      <c r="B319" s="871"/>
      <c r="C319" s="151">
        <v>4110</v>
      </c>
      <c r="D319" s="169" t="s">
        <v>169</v>
      </c>
      <c r="E319" s="187">
        <v>38893.4</v>
      </c>
      <c r="F319" s="170">
        <v>38893.4</v>
      </c>
      <c r="G319" s="171">
        <f t="shared" si="5"/>
        <v>100</v>
      </c>
    </row>
    <row r="320" spans="1:7">
      <c r="A320" s="868"/>
      <c r="B320" s="871"/>
      <c r="C320" s="151">
        <v>4120</v>
      </c>
      <c r="D320" s="169" t="s">
        <v>191</v>
      </c>
      <c r="E320" s="187">
        <v>6343.17</v>
      </c>
      <c r="F320" s="170">
        <v>6343.17</v>
      </c>
      <c r="G320" s="171">
        <f t="shared" si="5"/>
        <v>100</v>
      </c>
    </row>
    <row r="321" spans="1:7">
      <c r="A321" s="868"/>
      <c r="B321" s="871"/>
      <c r="C321" s="151">
        <v>4170</v>
      </c>
      <c r="D321" s="169" t="s">
        <v>170</v>
      </c>
      <c r="E321" s="187">
        <v>691.87</v>
      </c>
      <c r="F321" s="170">
        <v>691.87</v>
      </c>
      <c r="G321" s="171">
        <f t="shared" si="5"/>
        <v>100</v>
      </c>
    </row>
    <row r="322" spans="1:7">
      <c r="A322" s="868"/>
      <c r="B322" s="871"/>
      <c r="C322" s="151">
        <v>4210</v>
      </c>
      <c r="D322" s="169" t="s">
        <v>171</v>
      </c>
      <c r="E322" s="187">
        <v>3607.03</v>
      </c>
      <c r="F322" s="170">
        <v>3607.03</v>
      </c>
      <c r="G322" s="171">
        <f t="shared" si="5"/>
        <v>100</v>
      </c>
    </row>
    <row r="323" spans="1:7">
      <c r="A323" s="868"/>
      <c r="B323" s="871"/>
      <c r="C323" s="151">
        <v>4240</v>
      </c>
      <c r="D323" s="169" t="s">
        <v>357</v>
      </c>
      <c r="E323" s="187">
        <v>710.59</v>
      </c>
      <c r="F323" s="170">
        <v>710.59</v>
      </c>
      <c r="G323" s="171">
        <f t="shared" si="5"/>
        <v>100</v>
      </c>
    </row>
    <row r="324" spans="1:7">
      <c r="A324" s="868"/>
      <c r="B324" s="871"/>
      <c r="C324" s="151">
        <v>4260</v>
      </c>
      <c r="D324" s="169" t="s">
        <v>172</v>
      </c>
      <c r="E324" s="187">
        <v>37348</v>
      </c>
      <c r="F324" s="170">
        <v>37348</v>
      </c>
      <c r="G324" s="171">
        <f t="shared" si="5"/>
        <v>100</v>
      </c>
    </row>
    <row r="325" spans="1:7">
      <c r="A325" s="868"/>
      <c r="B325" s="871"/>
      <c r="C325" s="151">
        <v>4270</v>
      </c>
      <c r="D325" s="169" t="s">
        <v>173</v>
      </c>
      <c r="E325" s="187">
        <v>2638.39</v>
      </c>
      <c r="F325" s="170">
        <v>2638.39</v>
      </c>
      <c r="G325" s="171">
        <f t="shared" si="5"/>
        <v>100</v>
      </c>
    </row>
    <row r="326" spans="1:7">
      <c r="A326" s="868"/>
      <c r="B326" s="871"/>
      <c r="C326" s="151">
        <v>4280</v>
      </c>
      <c r="D326" s="169" t="s">
        <v>174</v>
      </c>
      <c r="E326" s="187">
        <v>186.56</v>
      </c>
      <c r="F326" s="170">
        <v>186.56</v>
      </c>
      <c r="G326" s="171">
        <f t="shared" si="5"/>
        <v>100</v>
      </c>
    </row>
    <row r="327" spans="1:7">
      <c r="A327" s="868"/>
      <c r="B327" s="871"/>
      <c r="C327" s="151">
        <v>4300</v>
      </c>
      <c r="D327" s="169" t="s">
        <v>161</v>
      </c>
      <c r="E327" s="187">
        <v>26903</v>
      </c>
      <c r="F327" s="170">
        <v>26903</v>
      </c>
      <c r="G327" s="171">
        <f t="shared" si="5"/>
        <v>100</v>
      </c>
    </row>
    <row r="328" spans="1:7">
      <c r="A328" s="868"/>
      <c r="B328" s="871"/>
      <c r="C328" s="151">
        <v>4350</v>
      </c>
      <c r="D328" s="169" t="s">
        <v>175</v>
      </c>
      <c r="E328" s="187">
        <v>708.56</v>
      </c>
      <c r="F328" s="170">
        <v>708.56</v>
      </c>
      <c r="G328" s="171">
        <f t="shared" si="5"/>
        <v>100.00000000000001</v>
      </c>
    </row>
    <row r="329" spans="1:7" ht="22.5">
      <c r="A329" s="868"/>
      <c r="B329" s="871"/>
      <c r="C329" s="151">
        <v>4370</v>
      </c>
      <c r="D329" s="173" t="s">
        <v>362</v>
      </c>
      <c r="E329" s="187">
        <v>865</v>
      </c>
      <c r="F329" s="170">
        <v>865</v>
      </c>
      <c r="G329" s="171">
        <f t="shared" si="5"/>
        <v>100</v>
      </c>
    </row>
    <row r="330" spans="1:7">
      <c r="A330" s="868"/>
      <c r="B330" s="871"/>
      <c r="C330" s="151">
        <v>4410</v>
      </c>
      <c r="D330" s="169" t="s">
        <v>176</v>
      </c>
      <c r="E330" s="187">
        <v>545.49</v>
      </c>
      <c r="F330" s="170">
        <v>545.49</v>
      </c>
      <c r="G330" s="171">
        <f t="shared" si="5"/>
        <v>100</v>
      </c>
    </row>
    <row r="331" spans="1:7">
      <c r="A331" s="868"/>
      <c r="B331" s="871"/>
      <c r="C331" s="151">
        <v>4420</v>
      </c>
      <c r="D331" s="173" t="s">
        <v>183</v>
      </c>
      <c r="E331" s="187">
        <v>187.76</v>
      </c>
      <c r="F331" s="170">
        <v>187.76</v>
      </c>
      <c r="G331" s="171">
        <f t="shared" si="5"/>
        <v>100</v>
      </c>
    </row>
    <row r="332" spans="1:7">
      <c r="A332" s="868"/>
      <c r="B332" s="871"/>
      <c r="C332" s="461">
        <v>4430</v>
      </c>
      <c r="D332" s="76" t="s">
        <v>177</v>
      </c>
      <c r="E332" s="187">
        <v>90</v>
      </c>
      <c r="F332" s="170">
        <v>90</v>
      </c>
      <c r="G332" s="171">
        <f t="shared" si="5"/>
        <v>100</v>
      </c>
    </row>
    <row r="333" spans="1:7">
      <c r="A333" s="868"/>
      <c r="B333" s="871"/>
      <c r="C333" s="151">
        <v>4440</v>
      </c>
      <c r="D333" s="169" t="s">
        <v>363</v>
      </c>
      <c r="E333" s="187">
        <v>15084.85</v>
      </c>
      <c r="F333" s="170">
        <v>15084.85</v>
      </c>
      <c r="G333" s="171">
        <f t="shared" si="5"/>
        <v>100</v>
      </c>
    </row>
    <row r="334" spans="1:7" ht="24">
      <c r="A334" s="868"/>
      <c r="B334" s="871"/>
      <c r="C334" s="461">
        <v>4700</v>
      </c>
      <c r="D334" s="216" t="s">
        <v>365</v>
      </c>
      <c r="E334" s="187">
        <v>360</v>
      </c>
      <c r="F334" s="170">
        <v>360</v>
      </c>
      <c r="G334" s="171">
        <f t="shared" si="5"/>
        <v>100</v>
      </c>
    </row>
    <row r="335" spans="1:7" ht="22.5">
      <c r="A335" s="868"/>
      <c r="B335" s="871"/>
      <c r="C335" s="151">
        <v>4740</v>
      </c>
      <c r="D335" s="173" t="s">
        <v>366</v>
      </c>
      <c r="E335" s="187">
        <v>143.52000000000001</v>
      </c>
      <c r="F335" s="170">
        <v>143.52000000000001</v>
      </c>
      <c r="G335" s="171">
        <f t="shared" si="5"/>
        <v>100</v>
      </c>
    </row>
    <row r="336" spans="1:7" ht="22.5">
      <c r="A336" s="868"/>
      <c r="B336" s="871"/>
      <c r="C336" s="151">
        <v>4750</v>
      </c>
      <c r="D336" s="173" t="s">
        <v>367</v>
      </c>
      <c r="E336" s="187">
        <v>901.59</v>
      </c>
      <c r="F336" s="170">
        <v>901.59</v>
      </c>
      <c r="G336" s="171">
        <f t="shared" si="5"/>
        <v>100</v>
      </c>
    </row>
    <row r="337" spans="1:7">
      <c r="A337" s="868"/>
      <c r="B337" s="871"/>
      <c r="C337" s="165"/>
      <c r="D337" s="177" t="s">
        <v>304</v>
      </c>
      <c r="E337" s="182">
        <f>SUM(E338:E356)</f>
        <v>150166</v>
      </c>
      <c r="F337" s="182">
        <f>SUM(F338:F356)</f>
        <v>150164.41</v>
      </c>
      <c r="G337" s="175">
        <f t="shared" si="5"/>
        <v>99.998941171769914</v>
      </c>
    </row>
    <row r="338" spans="1:7">
      <c r="A338" s="868"/>
      <c r="B338" s="871"/>
      <c r="C338" s="151">
        <v>3020</v>
      </c>
      <c r="D338" s="169" t="s">
        <v>166</v>
      </c>
      <c r="E338" s="187">
        <v>864</v>
      </c>
      <c r="F338" s="170">
        <v>864</v>
      </c>
      <c r="G338" s="180">
        <f t="shared" si="5"/>
        <v>100</v>
      </c>
    </row>
    <row r="339" spans="1:7">
      <c r="A339" s="868"/>
      <c r="B339" s="871"/>
      <c r="C339" s="151">
        <v>4010</v>
      </c>
      <c r="D339" s="169" t="s">
        <v>167</v>
      </c>
      <c r="E339" s="187">
        <v>90500</v>
      </c>
      <c r="F339" s="170">
        <v>90500</v>
      </c>
      <c r="G339" s="180">
        <f t="shared" si="5"/>
        <v>100</v>
      </c>
    </row>
    <row r="340" spans="1:7">
      <c r="A340" s="868"/>
      <c r="B340" s="871"/>
      <c r="C340" s="151">
        <v>4040</v>
      </c>
      <c r="D340" s="169" t="s">
        <v>168</v>
      </c>
      <c r="E340" s="187">
        <v>7753</v>
      </c>
      <c r="F340" s="170">
        <v>7752.43</v>
      </c>
      <c r="G340" s="180">
        <f t="shared" ref="G340:G381" si="6">F340*100/E340</f>
        <v>99.992648007223011</v>
      </c>
    </row>
    <row r="341" spans="1:7">
      <c r="A341" s="868"/>
      <c r="B341" s="871"/>
      <c r="C341" s="151">
        <v>4110</v>
      </c>
      <c r="D341" s="169" t="s">
        <v>169</v>
      </c>
      <c r="E341" s="187">
        <v>15071</v>
      </c>
      <c r="F341" s="170">
        <v>15071</v>
      </c>
      <c r="G341" s="180">
        <f t="shared" si="6"/>
        <v>100</v>
      </c>
    </row>
    <row r="342" spans="1:7">
      <c r="A342" s="868"/>
      <c r="B342" s="871"/>
      <c r="C342" s="151">
        <v>4120</v>
      </c>
      <c r="D342" s="169" t="s">
        <v>191</v>
      </c>
      <c r="E342" s="187">
        <v>2389</v>
      </c>
      <c r="F342" s="170">
        <v>2389</v>
      </c>
      <c r="G342" s="180">
        <f t="shared" si="6"/>
        <v>100</v>
      </c>
    </row>
    <row r="343" spans="1:7">
      <c r="A343" s="868"/>
      <c r="B343" s="871"/>
      <c r="C343" s="151">
        <v>4210</v>
      </c>
      <c r="D343" s="169" t="s">
        <v>171</v>
      </c>
      <c r="E343" s="187">
        <v>7714</v>
      </c>
      <c r="F343" s="170">
        <v>7714</v>
      </c>
      <c r="G343" s="180">
        <f t="shared" si="6"/>
        <v>100</v>
      </c>
    </row>
    <row r="344" spans="1:7" ht="24">
      <c r="A344" s="868"/>
      <c r="B344" s="871"/>
      <c r="C344" s="461">
        <v>4240</v>
      </c>
      <c r="D344" s="76" t="s">
        <v>357</v>
      </c>
      <c r="E344" s="187">
        <v>506</v>
      </c>
      <c r="F344" s="170">
        <v>505.97</v>
      </c>
      <c r="G344" s="180">
        <f t="shared" si="6"/>
        <v>99.994071146245062</v>
      </c>
    </row>
    <row r="345" spans="1:7">
      <c r="A345" s="868"/>
      <c r="B345" s="871"/>
      <c r="C345" s="151">
        <v>4260</v>
      </c>
      <c r="D345" s="169" t="s">
        <v>172</v>
      </c>
      <c r="E345" s="187">
        <v>5689</v>
      </c>
      <c r="F345" s="170">
        <v>5689</v>
      </c>
      <c r="G345" s="180">
        <f t="shared" si="6"/>
        <v>100</v>
      </c>
    </row>
    <row r="346" spans="1:7">
      <c r="A346" s="868"/>
      <c r="B346" s="871"/>
      <c r="C346" s="461">
        <v>4270</v>
      </c>
      <c r="D346" s="76" t="s">
        <v>173</v>
      </c>
      <c r="E346" s="187">
        <v>6022</v>
      </c>
      <c r="F346" s="170">
        <v>6022</v>
      </c>
      <c r="G346" s="180">
        <f t="shared" si="6"/>
        <v>100</v>
      </c>
    </row>
    <row r="347" spans="1:7">
      <c r="A347" s="868"/>
      <c r="B347" s="871"/>
      <c r="C347" s="151">
        <v>4280</v>
      </c>
      <c r="D347" s="169" t="s">
        <v>174</v>
      </c>
      <c r="E347" s="187">
        <v>83</v>
      </c>
      <c r="F347" s="170">
        <v>82.59</v>
      </c>
      <c r="G347" s="180">
        <f t="shared" si="6"/>
        <v>99.506024096385545</v>
      </c>
    </row>
    <row r="348" spans="1:7">
      <c r="A348" s="868"/>
      <c r="B348" s="871"/>
      <c r="C348" s="151">
        <v>4300</v>
      </c>
      <c r="D348" s="169" t="s">
        <v>161</v>
      </c>
      <c r="E348" s="187">
        <v>3240</v>
      </c>
      <c r="F348" s="170">
        <v>3240</v>
      </c>
      <c r="G348" s="180">
        <f t="shared" si="6"/>
        <v>100</v>
      </c>
    </row>
    <row r="349" spans="1:7">
      <c r="A349" s="868"/>
      <c r="B349" s="871"/>
      <c r="C349" s="151">
        <v>4350</v>
      </c>
      <c r="D349" s="169" t="s">
        <v>175</v>
      </c>
      <c r="E349" s="187">
        <v>50</v>
      </c>
      <c r="F349" s="170">
        <v>49.73</v>
      </c>
      <c r="G349" s="180">
        <f t="shared" si="6"/>
        <v>99.46</v>
      </c>
    </row>
    <row r="350" spans="1:7" ht="22.5">
      <c r="A350" s="868"/>
      <c r="B350" s="871"/>
      <c r="C350" s="151">
        <v>4360</v>
      </c>
      <c r="D350" s="173" t="s">
        <v>361</v>
      </c>
      <c r="E350" s="187">
        <v>93</v>
      </c>
      <c r="F350" s="170">
        <v>93</v>
      </c>
      <c r="G350" s="180">
        <f t="shared" si="6"/>
        <v>100</v>
      </c>
    </row>
    <row r="351" spans="1:7" ht="22.5">
      <c r="A351" s="868"/>
      <c r="B351" s="871"/>
      <c r="C351" s="151">
        <v>4370</v>
      </c>
      <c r="D351" s="173" t="s">
        <v>362</v>
      </c>
      <c r="E351" s="187">
        <v>239</v>
      </c>
      <c r="F351" s="170">
        <v>239</v>
      </c>
      <c r="G351" s="180">
        <f t="shared" si="6"/>
        <v>100</v>
      </c>
    </row>
    <row r="352" spans="1:7">
      <c r="A352" s="868"/>
      <c r="B352" s="871"/>
      <c r="C352" s="151">
        <v>4410</v>
      </c>
      <c r="D352" s="169" t="s">
        <v>176</v>
      </c>
      <c r="E352" s="187">
        <v>2707</v>
      </c>
      <c r="F352" s="170">
        <v>2706.69</v>
      </c>
      <c r="G352" s="180">
        <f t="shared" si="6"/>
        <v>99.988548208348732</v>
      </c>
    </row>
    <row r="353" spans="1:7">
      <c r="A353" s="868"/>
      <c r="B353" s="871"/>
      <c r="C353" s="151">
        <v>4440</v>
      </c>
      <c r="D353" s="169" t="s">
        <v>363</v>
      </c>
      <c r="E353" s="187">
        <v>6509</v>
      </c>
      <c r="F353" s="170">
        <v>6509</v>
      </c>
      <c r="G353" s="180">
        <f t="shared" si="6"/>
        <v>100</v>
      </c>
    </row>
    <row r="354" spans="1:7" ht="22.5">
      <c r="A354" s="868"/>
      <c r="B354" s="871"/>
      <c r="C354" s="151">
        <v>4700</v>
      </c>
      <c r="D354" s="173" t="s">
        <v>365</v>
      </c>
      <c r="E354" s="187">
        <v>128</v>
      </c>
      <c r="F354" s="170">
        <v>128</v>
      </c>
      <c r="G354" s="180">
        <f t="shared" si="6"/>
        <v>100</v>
      </c>
    </row>
    <row r="355" spans="1:7" ht="22.5">
      <c r="A355" s="868"/>
      <c r="B355" s="871"/>
      <c r="C355" s="151">
        <v>4740</v>
      </c>
      <c r="D355" s="173" t="s">
        <v>366</v>
      </c>
      <c r="E355" s="187">
        <v>192</v>
      </c>
      <c r="F355" s="170">
        <v>192</v>
      </c>
      <c r="G355" s="180">
        <f t="shared" si="6"/>
        <v>100</v>
      </c>
    </row>
    <row r="356" spans="1:7" ht="22.5">
      <c r="A356" s="868"/>
      <c r="B356" s="871"/>
      <c r="C356" s="151">
        <v>4750</v>
      </c>
      <c r="D356" s="173" t="s">
        <v>367</v>
      </c>
      <c r="E356" s="187">
        <v>417</v>
      </c>
      <c r="F356" s="170">
        <v>417</v>
      </c>
      <c r="G356" s="180">
        <f t="shared" si="6"/>
        <v>100</v>
      </c>
    </row>
    <row r="357" spans="1:7">
      <c r="A357" s="868"/>
      <c r="B357" s="871"/>
      <c r="C357" s="165"/>
      <c r="D357" s="177" t="s">
        <v>193</v>
      </c>
      <c r="E357" s="230">
        <f>SUM(E358:E360)</f>
        <v>474886</v>
      </c>
      <c r="F357" s="178">
        <f>SUM(F358:F360)</f>
        <v>472959.6</v>
      </c>
      <c r="G357" s="183">
        <f t="shared" si="6"/>
        <v>99.594344748002683</v>
      </c>
    </row>
    <row r="358" spans="1:7" ht="22.5">
      <c r="A358" s="868"/>
      <c r="B358" s="871"/>
      <c r="C358" s="151">
        <v>2540</v>
      </c>
      <c r="D358" s="173" t="s">
        <v>375</v>
      </c>
      <c r="E358" s="187">
        <v>460000</v>
      </c>
      <c r="F358" s="170">
        <v>458073.59999999998</v>
      </c>
      <c r="G358" s="171">
        <f t="shared" si="6"/>
        <v>99.581217391304349</v>
      </c>
    </row>
    <row r="359" spans="1:7">
      <c r="A359" s="868"/>
      <c r="B359" s="871"/>
      <c r="C359" s="151">
        <v>4210</v>
      </c>
      <c r="D359" s="169" t="s">
        <v>171</v>
      </c>
      <c r="E359" s="187">
        <v>1400</v>
      </c>
      <c r="F359" s="170">
        <v>1400</v>
      </c>
      <c r="G359" s="171">
        <f t="shared" si="6"/>
        <v>100</v>
      </c>
    </row>
    <row r="360" spans="1:7">
      <c r="A360" s="868"/>
      <c r="B360" s="872"/>
      <c r="C360" s="151">
        <v>6050</v>
      </c>
      <c r="D360" s="169" t="s">
        <v>161</v>
      </c>
      <c r="E360" s="187">
        <v>13486</v>
      </c>
      <c r="F360" s="170">
        <v>13486</v>
      </c>
      <c r="G360" s="171">
        <f t="shared" si="6"/>
        <v>100</v>
      </c>
    </row>
    <row r="361" spans="1:7">
      <c r="A361" s="868"/>
      <c r="B361" s="165">
        <v>80123</v>
      </c>
      <c r="C361" s="165"/>
      <c r="D361" s="172" t="s">
        <v>190</v>
      </c>
      <c r="E361" s="182">
        <f>E362+E382</f>
        <v>534739</v>
      </c>
      <c r="F361" s="182">
        <f>F362+F382</f>
        <v>526074.5</v>
      </c>
      <c r="G361" s="168">
        <f t="shared" si="6"/>
        <v>98.379676814296317</v>
      </c>
    </row>
    <row r="362" spans="1:7">
      <c r="A362" s="868"/>
      <c r="B362" s="881"/>
      <c r="C362" s="181"/>
      <c r="D362" s="177" t="s">
        <v>205</v>
      </c>
      <c r="E362" s="230">
        <f>SUM(E363:E381)</f>
        <v>109135</v>
      </c>
      <c r="F362" s="178">
        <f>SUM(F363:F381)</f>
        <v>109127.60000000002</v>
      </c>
      <c r="G362" s="175">
        <f t="shared" si="6"/>
        <v>99.993219407156289</v>
      </c>
    </row>
    <row r="363" spans="1:7">
      <c r="A363" s="868"/>
      <c r="B363" s="881"/>
      <c r="C363" s="151">
        <v>3020</v>
      </c>
      <c r="D363" s="169" t="s">
        <v>166</v>
      </c>
      <c r="E363" s="187">
        <v>349</v>
      </c>
      <c r="F363" s="170">
        <v>348.58</v>
      </c>
      <c r="G363" s="171">
        <f t="shared" si="6"/>
        <v>99.879656160458453</v>
      </c>
    </row>
    <row r="364" spans="1:7">
      <c r="A364" s="868"/>
      <c r="B364" s="881"/>
      <c r="C364" s="151">
        <v>4010</v>
      </c>
      <c r="D364" s="169" t="s">
        <v>167</v>
      </c>
      <c r="E364" s="187">
        <v>65317</v>
      </c>
      <c r="F364" s="170">
        <v>65316.24</v>
      </c>
      <c r="G364" s="171">
        <f t="shared" si="6"/>
        <v>99.998836443804834</v>
      </c>
    </row>
    <row r="365" spans="1:7">
      <c r="A365" s="868"/>
      <c r="B365" s="881"/>
      <c r="C365" s="151">
        <v>4040</v>
      </c>
      <c r="D365" s="169" t="s">
        <v>168</v>
      </c>
      <c r="E365" s="187">
        <v>7260</v>
      </c>
      <c r="F365" s="170">
        <v>7259.1</v>
      </c>
      <c r="G365" s="171">
        <f t="shared" si="6"/>
        <v>99.987603305785129</v>
      </c>
    </row>
    <row r="366" spans="1:7">
      <c r="A366" s="868"/>
      <c r="B366" s="881"/>
      <c r="C366" s="151">
        <v>4110</v>
      </c>
      <c r="D366" s="169" t="s">
        <v>169</v>
      </c>
      <c r="E366" s="187">
        <v>11667</v>
      </c>
      <c r="F366" s="170">
        <v>11666.94</v>
      </c>
      <c r="G366" s="171">
        <f t="shared" si="6"/>
        <v>99.999485728979167</v>
      </c>
    </row>
    <row r="367" spans="1:7">
      <c r="A367" s="868"/>
      <c r="B367" s="881"/>
      <c r="C367" s="151">
        <v>4120</v>
      </c>
      <c r="D367" s="169" t="s">
        <v>191</v>
      </c>
      <c r="E367" s="187">
        <v>1865</v>
      </c>
      <c r="F367" s="170">
        <v>1864.72</v>
      </c>
      <c r="G367" s="171">
        <f t="shared" si="6"/>
        <v>99.984986595174263</v>
      </c>
    </row>
    <row r="368" spans="1:7">
      <c r="A368" s="868"/>
      <c r="B368" s="881"/>
      <c r="C368" s="151">
        <v>4210</v>
      </c>
      <c r="D368" s="169" t="s">
        <v>171</v>
      </c>
      <c r="E368" s="187">
        <v>5177</v>
      </c>
      <c r="F368" s="170">
        <v>5176.62</v>
      </c>
      <c r="G368" s="171">
        <f t="shared" si="6"/>
        <v>99.992659841607107</v>
      </c>
    </row>
    <row r="369" spans="1:7" ht="24">
      <c r="A369" s="868"/>
      <c r="B369" s="881"/>
      <c r="C369" s="461">
        <v>4240</v>
      </c>
      <c r="D369" s="76" t="s">
        <v>357</v>
      </c>
      <c r="E369" s="187">
        <v>162</v>
      </c>
      <c r="F369" s="170">
        <v>161.91</v>
      </c>
      <c r="G369" s="171">
        <f t="shared" si="6"/>
        <v>99.944444444444443</v>
      </c>
    </row>
    <row r="370" spans="1:7">
      <c r="A370" s="868"/>
      <c r="B370" s="881"/>
      <c r="C370" s="151">
        <v>4260</v>
      </c>
      <c r="D370" s="169" t="s">
        <v>172</v>
      </c>
      <c r="E370" s="187">
        <v>5229</v>
      </c>
      <c r="F370" s="170">
        <v>5228.83</v>
      </c>
      <c r="G370" s="171">
        <f t="shared" si="6"/>
        <v>99.996748900363357</v>
      </c>
    </row>
    <row r="371" spans="1:7">
      <c r="A371" s="868"/>
      <c r="B371" s="881"/>
      <c r="C371" s="461">
        <v>4270</v>
      </c>
      <c r="D371" s="76" t="s">
        <v>173</v>
      </c>
      <c r="E371" s="187">
        <v>4333</v>
      </c>
      <c r="F371" s="170">
        <v>4332.7</v>
      </c>
      <c r="G371" s="171">
        <f t="shared" si="6"/>
        <v>99.993076390491581</v>
      </c>
    </row>
    <row r="372" spans="1:7">
      <c r="A372" s="868"/>
      <c r="B372" s="881"/>
      <c r="C372" s="151">
        <v>4280</v>
      </c>
      <c r="D372" s="169" t="s">
        <v>174</v>
      </c>
      <c r="E372" s="187">
        <v>71</v>
      </c>
      <c r="F372" s="170">
        <v>70.66</v>
      </c>
      <c r="G372" s="171">
        <f t="shared" si="6"/>
        <v>99.521126760563376</v>
      </c>
    </row>
    <row r="373" spans="1:7">
      <c r="A373" s="868"/>
      <c r="B373" s="881"/>
      <c r="C373" s="151">
        <v>4300</v>
      </c>
      <c r="D373" s="169" t="s">
        <v>161</v>
      </c>
      <c r="E373" s="187">
        <v>1765</v>
      </c>
      <c r="F373" s="170">
        <v>1764.57</v>
      </c>
      <c r="G373" s="171">
        <f t="shared" si="6"/>
        <v>99.975637393767698</v>
      </c>
    </row>
    <row r="374" spans="1:7">
      <c r="A374" s="868"/>
      <c r="B374" s="881"/>
      <c r="C374" s="151">
        <v>4350</v>
      </c>
      <c r="D374" s="169" t="s">
        <v>175</v>
      </c>
      <c r="E374" s="187">
        <v>45</v>
      </c>
      <c r="F374" s="170">
        <v>44.33</v>
      </c>
      <c r="G374" s="171">
        <f t="shared" si="6"/>
        <v>98.511111111111106</v>
      </c>
    </row>
    <row r="375" spans="1:7" ht="22.5">
      <c r="A375" s="868"/>
      <c r="B375" s="881"/>
      <c r="C375" s="151">
        <v>4360</v>
      </c>
      <c r="D375" s="173" t="s">
        <v>361</v>
      </c>
      <c r="E375" s="476">
        <v>74</v>
      </c>
      <c r="F375" s="170">
        <v>73.989999999999995</v>
      </c>
      <c r="G375" s="171">
        <f t="shared" si="6"/>
        <v>99.98648648648647</v>
      </c>
    </row>
    <row r="376" spans="1:7" ht="22.5">
      <c r="A376" s="868"/>
      <c r="B376" s="881"/>
      <c r="C376" s="151">
        <v>4370</v>
      </c>
      <c r="D376" s="173" t="s">
        <v>362</v>
      </c>
      <c r="E376" s="187">
        <v>209</v>
      </c>
      <c r="F376" s="170">
        <v>209</v>
      </c>
      <c r="G376" s="171">
        <f t="shared" si="6"/>
        <v>100</v>
      </c>
    </row>
    <row r="377" spans="1:7">
      <c r="A377" s="868"/>
      <c r="B377" s="881"/>
      <c r="C377" s="151">
        <v>4410</v>
      </c>
      <c r="D377" s="169" t="s">
        <v>176</v>
      </c>
      <c r="E377" s="187">
        <v>942</v>
      </c>
      <c r="F377" s="170">
        <v>941.26</v>
      </c>
      <c r="G377" s="171">
        <f t="shared" si="6"/>
        <v>99.921443736730367</v>
      </c>
    </row>
    <row r="378" spans="1:7">
      <c r="A378" s="868"/>
      <c r="B378" s="881"/>
      <c r="C378" s="151">
        <v>4440</v>
      </c>
      <c r="D378" s="169" t="s">
        <v>363</v>
      </c>
      <c r="E378" s="187">
        <v>4280</v>
      </c>
      <c r="F378" s="170">
        <v>4280</v>
      </c>
      <c r="G378" s="171">
        <f t="shared" si="6"/>
        <v>100</v>
      </c>
    </row>
    <row r="379" spans="1:7" ht="22.5">
      <c r="A379" s="868"/>
      <c r="B379" s="881"/>
      <c r="C379" s="151">
        <v>4700</v>
      </c>
      <c r="D379" s="173" t="s">
        <v>365</v>
      </c>
      <c r="E379" s="187">
        <v>52</v>
      </c>
      <c r="F379" s="170">
        <v>51.82</v>
      </c>
      <c r="G379" s="171">
        <f t="shared" si="6"/>
        <v>99.65384615384616</v>
      </c>
    </row>
    <row r="380" spans="1:7" ht="22.5">
      <c r="A380" s="868"/>
      <c r="B380" s="881"/>
      <c r="C380" s="151">
        <v>4740</v>
      </c>
      <c r="D380" s="173" t="s">
        <v>366</v>
      </c>
      <c r="E380" s="187">
        <v>152</v>
      </c>
      <c r="F380" s="170">
        <v>151.03</v>
      </c>
      <c r="G380" s="171">
        <f t="shared" si="6"/>
        <v>99.361842105263165</v>
      </c>
    </row>
    <row r="381" spans="1:7" ht="22.5">
      <c r="A381" s="868"/>
      <c r="B381" s="881"/>
      <c r="C381" s="151">
        <v>4750</v>
      </c>
      <c r="D381" s="173" t="s">
        <v>367</v>
      </c>
      <c r="E381" s="187">
        <v>186</v>
      </c>
      <c r="F381" s="170">
        <v>185.3</v>
      </c>
      <c r="G381" s="171">
        <f t="shared" si="6"/>
        <v>99.623655913978496</v>
      </c>
    </row>
    <row r="382" spans="1:7">
      <c r="A382" s="868"/>
      <c r="B382" s="881"/>
      <c r="C382" s="165"/>
      <c r="D382" s="177" t="s">
        <v>193</v>
      </c>
      <c r="E382" s="182">
        <f>E383</f>
        <v>425604</v>
      </c>
      <c r="F382" s="167">
        <f>F383</f>
        <v>416946.9</v>
      </c>
      <c r="G382" s="168">
        <f t="shared" ref="G382:G386" si="7">F382*100/E382</f>
        <v>97.965926072123381</v>
      </c>
    </row>
    <row r="383" spans="1:7" ht="22.5">
      <c r="A383" s="868"/>
      <c r="B383" s="881"/>
      <c r="C383" s="151">
        <v>2540</v>
      </c>
      <c r="D383" s="173" t="s">
        <v>375</v>
      </c>
      <c r="E383" s="579">
        <v>425604</v>
      </c>
      <c r="F383" s="580">
        <v>416946.9</v>
      </c>
      <c r="G383" s="581">
        <f t="shared" si="7"/>
        <v>97.965926072123381</v>
      </c>
    </row>
    <row r="384" spans="1:7">
      <c r="A384" s="868"/>
      <c r="B384" s="165">
        <v>80130</v>
      </c>
      <c r="C384" s="165"/>
      <c r="D384" s="185" t="s">
        <v>86</v>
      </c>
      <c r="E384" s="182">
        <f>E385+E406+E453+E431</f>
        <v>5024543</v>
      </c>
      <c r="F384" s="182">
        <f>F385+F406+F453+F431</f>
        <v>5006285.1400000006</v>
      </c>
      <c r="G384" s="168">
        <f t="shared" si="7"/>
        <v>99.636626455381133</v>
      </c>
    </row>
    <row r="385" spans="1:7">
      <c r="A385" s="868"/>
      <c r="B385" s="870"/>
      <c r="C385" s="176"/>
      <c r="D385" s="184" t="s">
        <v>207</v>
      </c>
      <c r="E385" s="230">
        <f>+SUM(E386:E405)</f>
        <v>795827</v>
      </c>
      <c r="F385" s="178">
        <f>+SUM(F386:F405)</f>
        <v>795826.50000000023</v>
      </c>
      <c r="G385" s="180">
        <f t="shared" si="7"/>
        <v>99.999937172274912</v>
      </c>
    </row>
    <row r="386" spans="1:7">
      <c r="A386" s="868"/>
      <c r="B386" s="871"/>
      <c r="C386" s="151">
        <v>3020</v>
      </c>
      <c r="D386" s="169" t="s">
        <v>166</v>
      </c>
      <c r="E386" s="187">
        <v>41445</v>
      </c>
      <c r="F386" s="170">
        <v>41445.24</v>
      </c>
      <c r="G386" s="180">
        <f t="shared" si="7"/>
        <v>100.00057908070937</v>
      </c>
    </row>
    <row r="387" spans="1:7">
      <c r="A387" s="868"/>
      <c r="B387" s="871"/>
      <c r="C387" s="151">
        <v>3240</v>
      </c>
      <c r="D387" s="169" t="s">
        <v>192</v>
      </c>
      <c r="E387" s="187">
        <v>4828</v>
      </c>
      <c r="F387" s="170">
        <v>4828</v>
      </c>
      <c r="G387" s="180">
        <f t="shared" ref="G387:G428" si="8">F387*100/E387</f>
        <v>100</v>
      </c>
    </row>
    <row r="388" spans="1:7">
      <c r="A388" s="868"/>
      <c r="B388" s="871"/>
      <c r="C388" s="151">
        <v>4010</v>
      </c>
      <c r="D388" s="127" t="s">
        <v>167</v>
      </c>
      <c r="E388" s="187">
        <v>471440</v>
      </c>
      <c r="F388" s="170">
        <v>471440</v>
      </c>
      <c r="G388" s="180">
        <f t="shared" si="8"/>
        <v>100</v>
      </c>
    </row>
    <row r="389" spans="1:7">
      <c r="A389" s="868"/>
      <c r="B389" s="871"/>
      <c r="C389" s="151">
        <v>4040</v>
      </c>
      <c r="D389" s="127" t="s">
        <v>168</v>
      </c>
      <c r="E389" s="187">
        <v>37873</v>
      </c>
      <c r="F389" s="170">
        <v>37872.43</v>
      </c>
      <c r="G389" s="180">
        <f t="shared" si="8"/>
        <v>99.998494970031416</v>
      </c>
    </row>
    <row r="390" spans="1:7">
      <c r="A390" s="868"/>
      <c r="B390" s="871"/>
      <c r="C390" s="151">
        <v>4110</v>
      </c>
      <c r="D390" s="127" t="s">
        <v>169</v>
      </c>
      <c r="E390" s="187">
        <v>81968</v>
      </c>
      <c r="F390" s="170">
        <v>81968</v>
      </c>
      <c r="G390" s="180">
        <f t="shared" si="8"/>
        <v>100</v>
      </c>
    </row>
    <row r="391" spans="1:7">
      <c r="A391" s="868"/>
      <c r="B391" s="871"/>
      <c r="C391" s="151">
        <v>4120</v>
      </c>
      <c r="D391" s="127" t="s">
        <v>191</v>
      </c>
      <c r="E391" s="187">
        <v>13351</v>
      </c>
      <c r="F391" s="170">
        <v>13351</v>
      </c>
      <c r="G391" s="180">
        <f t="shared" si="8"/>
        <v>100</v>
      </c>
    </row>
    <row r="392" spans="1:7" ht="24">
      <c r="A392" s="868"/>
      <c r="B392" s="871"/>
      <c r="C392" s="461">
        <v>4140</v>
      </c>
      <c r="D392" s="76" t="s">
        <v>218</v>
      </c>
      <c r="E392" s="187">
        <v>12274</v>
      </c>
      <c r="F392" s="170">
        <v>12274</v>
      </c>
      <c r="G392" s="180">
        <f t="shared" si="8"/>
        <v>100</v>
      </c>
    </row>
    <row r="393" spans="1:7">
      <c r="A393" s="868"/>
      <c r="B393" s="871"/>
      <c r="C393" s="151">
        <v>4210</v>
      </c>
      <c r="D393" s="127" t="s">
        <v>171</v>
      </c>
      <c r="E393" s="187">
        <v>33528</v>
      </c>
      <c r="F393" s="170">
        <v>33528.29</v>
      </c>
      <c r="G393" s="180">
        <f t="shared" si="8"/>
        <v>100.0008649486996</v>
      </c>
    </row>
    <row r="394" spans="1:7" ht="24">
      <c r="A394" s="868"/>
      <c r="B394" s="871"/>
      <c r="C394" s="461">
        <v>4240</v>
      </c>
      <c r="D394" s="76" t="s">
        <v>357</v>
      </c>
      <c r="E394" s="187">
        <v>4005</v>
      </c>
      <c r="F394" s="170">
        <v>4005.21</v>
      </c>
      <c r="G394" s="180">
        <f t="shared" si="8"/>
        <v>100.00524344569288</v>
      </c>
    </row>
    <row r="395" spans="1:7">
      <c r="A395" s="868"/>
      <c r="B395" s="871"/>
      <c r="C395" s="151">
        <v>4260</v>
      </c>
      <c r="D395" s="127" t="s">
        <v>172</v>
      </c>
      <c r="E395" s="187">
        <v>23091</v>
      </c>
      <c r="F395" s="170">
        <v>23091.06</v>
      </c>
      <c r="G395" s="180">
        <f t="shared" si="8"/>
        <v>100.00025984149669</v>
      </c>
    </row>
    <row r="396" spans="1:7">
      <c r="A396" s="868"/>
      <c r="B396" s="871"/>
      <c r="C396" s="151">
        <v>4270</v>
      </c>
      <c r="D396" s="127" t="s">
        <v>173</v>
      </c>
      <c r="E396" s="187">
        <v>608</v>
      </c>
      <c r="F396" s="170">
        <v>608.41</v>
      </c>
      <c r="G396" s="180">
        <f t="shared" si="8"/>
        <v>100.06743421052632</v>
      </c>
    </row>
    <row r="397" spans="1:7">
      <c r="A397" s="868"/>
      <c r="B397" s="871"/>
      <c r="C397" s="151">
        <v>4280</v>
      </c>
      <c r="D397" s="169" t="s">
        <v>174</v>
      </c>
      <c r="E397" s="187">
        <v>638</v>
      </c>
      <c r="F397" s="170">
        <v>638.16999999999996</v>
      </c>
      <c r="G397" s="180">
        <f t="shared" si="8"/>
        <v>100.02664576802506</v>
      </c>
    </row>
    <row r="398" spans="1:7">
      <c r="A398" s="868"/>
      <c r="B398" s="871"/>
      <c r="C398" s="151">
        <v>4300</v>
      </c>
      <c r="D398" s="127" t="s">
        <v>161</v>
      </c>
      <c r="E398" s="187">
        <v>27342</v>
      </c>
      <c r="F398" s="170">
        <v>27341.54</v>
      </c>
      <c r="G398" s="180">
        <f t="shared" si="8"/>
        <v>99.998317606612531</v>
      </c>
    </row>
    <row r="399" spans="1:7">
      <c r="A399" s="868"/>
      <c r="B399" s="871"/>
      <c r="C399" s="151">
        <v>4350</v>
      </c>
      <c r="D399" s="169" t="s">
        <v>175</v>
      </c>
      <c r="E399" s="187">
        <v>1505</v>
      </c>
      <c r="F399" s="170">
        <v>1504.56</v>
      </c>
      <c r="G399" s="180">
        <f t="shared" si="8"/>
        <v>99.970764119601327</v>
      </c>
    </row>
    <row r="400" spans="1:7" ht="22.5">
      <c r="A400" s="868"/>
      <c r="B400" s="871"/>
      <c r="C400" s="151">
        <v>4360</v>
      </c>
      <c r="D400" s="173" t="s">
        <v>361</v>
      </c>
      <c r="E400" s="187">
        <v>356</v>
      </c>
      <c r="F400" s="170">
        <v>356.07</v>
      </c>
      <c r="G400" s="180">
        <f t="shared" si="8"/>
        <v>100.01966292134831</v>
      </c>
    </row>
    <row r="401" spans="1:7" ht="22.5">
      <c r="A401" s="868"/>
      <c r="B401" s="871"/>
      <c r="C401" s="151">
        <v>4370</v>
      </c>
      <c r="D401" s="173" t="s">
        <v>362</v>
      </c>
      <c r="E401" s="187">
        <v>968</v>
      </c>
      <c r="F401" s="170">
        <v>967.83</v>
      </c>
      <c r="G401" s="180">
        <f t="shared" si="8"/>
        <v>99.982438016528931</v>
      </c>
    </row>
    <row r="402" spans="1:7">
      <c r="A402" s="868"/>
      <c r="B402" s="871"/>
      <c r="C402" s="151">
        <v>4410</v>
      </c>
      <c r="D402" s="127" t="s">
        <v>176</v>
      </c>
      <c r="E402" s="187">
        <v>2865</v>
      </c>
      <c r="F402" s="170">
        <v>2865.41</v>
      </c>
      <c r="G402" s="180">
        <f t="shared" si="8"/>
        <v>100.01431064572427</v>
      </c>
    </row>
    <row r="403" spans="1:7">
      <c r="A403" s="868"/>
      <c r="B403" s="871"/>
      <c r="C403" s="151">
        <v>4440</v>
      </c>
      <c r="D403" s="127" t="s">
        <v>363</v>
      </c>
      <c r="E403" s="187">
        <v>31879</v>
      </c>
      <c r="F403" s="170">
        <v>31879</v>
      </c>
      <c r="G403" s="180">
        <f t="shared" si="8"/>
        <v>100</v>
      </c>
    </row>
    <row r="404" spans="1:7" ht="24">
      <c r="A404" s="868"/>
      <c r="B404" s="871"/>
      <c r="C404" s="151">
        <v>4570</v>
      </c>
      <c r="D404" s="216" t="s">
        <v>432</v>
      </c>
      <c r="E404" s="187">
        <v>1593</v>
      </c>
      <c r="F404" s="170">
        <v>1593</v>
      </c>
      <c r="G404" s="180">
        <f t="shared" si="8"/>
        <v>100</v>
      </c>
    </row>
    <row r="405" spans="1:7" ht="22.5">
      <c r="A405" s="868"/>
      <c r="B405" s="871"/>
      <c r="C405" s="151">
        <v>4750</v>
      </c>
      <c r="D405" s="173" t="s">
        <v>367</v>
      </c>
      <c r="E405" s="187">
        <v>4270</v>
      </c>
      <c r="F405" s="170">
        <v>4269.28</v>
      </c>
      <c r="G405" s="180">
        <f t="shared" si="8"/>
        <v>99.983138173302109</v>
      </c>
    </row>
    <row r="406" spans="1:7">
      <c r="A406" s="868"/>
      <c r="B406" s="871"/>
      <c r="C406" s="176"/>
      <c r="D406" s="184" t="s">
        <v>205</v>
      </c>
      <c r="E406" s="230">
        <f>+SUM(E407:E430)</f>
        <v>3432026</v>
      </c>
      <c r="F406" s="230">
        <f>+SUM(F407:F430)</f>
        <v>3432020.1200000006</v>
      </c>
      <c r="G406" s="171">
        <f t="shared" si="8"/>
        <v>99.99982867262662</v>
      </c>
    </row>
    <row r="407" spans="1:7">
      <c r="A407" s="868"/>
      <c r="B407" s="871"/>
      <c r="C407" s="151">
        <v>3020</v>
      </c>
      <c r="D407" s="169" t="s">
        <v>166</v>
      </c>
      <c r="E407" s="187">
        <v>14101</v>
      </c>
      <c r="F407" s="170">
        <v>14100.75</v>
      </c>
      <c r="G407" s="171">
        <f t="shared" si="8"/>
        <v>99.998227076093897</v>
      </c>
    </row>
    <row r="408" spans="1:7">
      <c r="A408" s="868"/>
      <c r="B408" s="871"/>
      <c r="C408" s="151">
        <v>3250</v>
      </c>
      <c r="D408" s="76" t="s">
        <v>557</v>
      </c>
      <c r="E408" s="187">
        <v>3612</v>
      </c>
      <c r="F408" s="170">
        <v>3612</v>
      </c>
      <c r="G408" s="171">
        <f t="shared" si="8"/>
        <v>100</v>
      </c>
    </row>
    <row r="409" spans="1:7">
      <c r="A409" s="868"/>
      <c r="B409" s="871"/>
      <c r="C409" s="151">
        <v>4010</v>
      </c>
      <c r="D409" s="127" t="s">
        <v>167</v>
      </c>
      <c r="E409" s="187">
        <v>2232144</v>
      </c>
      <c r="F409" s="170">
        <v>2232144</v>
      </c>
      <c r="G409" s="171">
        <f t="shared" si="8"/>
        <v>100</v>
      </c>
    </row>
    <row r="410" spans="1:7">
      <c r="A410" s="868"/>
      <c r="B410" s="871"/>
      <c r="C410" s="151">
        <v>4040</v>
      </c>
      <c r="D410" s="127" t="s">
        <v>168</v>
      </c>
      <c r="E410" s="187">
        <v>156724</v>
      </c>
      <c r="F410" s="170">
        <v>156723.56</v>
      </c>
      <c r="G410" s="171">
        <f t="shared" si="8"/>
        <v>99.999719251678115</v>
      </c>
    </row>
    <row r="411" spans="1:7">
      <c r="A411" s="868"/>
      <c r="B411" s="871"/>
      <c r="C411" s="151">
        <v>4110</v>
      </c>
      <c r="D411" s="127" t="s">
        <v>169</v>
      </c>
      <c r="E411" s="187">
        <v>347285</v>
      </c>
      <c r="F411" s="170">
        <v>347285</v>
      </c>
      <c r="G411" s="171">
        <f t="shared" si="8"/>
        <v>100</v>
      </c>
    </row>
    <row r="412" spans="1:7">
      <c r="A412" s="868"/>
      <c r="B412" s="871"/>
      <c r="C412" s="151">
        <v>4120</v>
      </c>
      <c r="D412" s="127" t="s">
        <v>191</v>
      </c>
      <c r="E412" s="187">
        <v>54429</v>
      </c>
      <c r="F412" s="170">
        <v>54429</v>
      </c>
      <c r="G412" s="171">
        <f t="shared" si="8"/>
        <v>100</v>
      </c>
    </row>
    <row r="413" spans="1:7">
      <c r="A413" s="868"/>
      <c r="B413" s="871"/>
      <c r="C413" s="461">
        <v>4170</v>
      </c>
      <c r="D413" s="216" t="s">
        <v>170</v>
      </c>
      <c r="E413" s="187">
        <v>10990</v>
      </c>
      <c r="F413" s="170">
        <v>10989.45</v>
      </c>
      <c r="G413" s="171">
        <f t="shared" si="8"/>
        <v>99.994995450409462</v>
      </c>
    </row>
    <row r="414" spans="1:7">
      <c r="A414" s="868"/>
      <c r="B414" s="871"/>
      <c r="C414" s="151">
        <v>4210</v>
      </c>
      <c r="D414" s="127" t="s">
        <v>171</v>
      </c>
      <c r="E414" s="187">
        <v>103282</v>
      </c>
      <c r="F414" s="170">
        <v>103282</v>
      </c>
      <c r="G414" s="171">
        <f t="shared" si="8"/>
        <v>100</v>
      </c>
    </row>
    <row r="415" spans="1:7">
      <c r="A415" s="868"/>
      <c r="B415" s="871"/>
      <c r="C415" s="151">
        <v>4240</v>
      </c>
      <c r="D415" s="127" t="s">
        <v>357</v>
      </c>
      <c r="E415" s="187">
        <v>7100</v>
      </c>
      <c r="F415" s="170">
        <v>7100</v>
      </c>
      <c r="G415" s="171">
        <f t="shared" si="8"/>
        <v>100</v>
      </c>
    </row>
    <row r="416" spans="1:7">
      <c r="A416" s="868"/>
      <c r="B416" s="871"/>
      <c r="C416" s="151">
        <v>4260</v>
      </c>
      <c r="D416" s="127" t="s">
        <v>172</v>
      </c>
      <c r="E416" s="187">
        <v>104654</v>
      </c>
      <c r="F416" s="170">
        <v>104654</v>
      </c>
      <c r="G416" s="171">
        <f t="shared" si="8"/>
        <v>100</v>
      </c>
    </row>
    <row r="417" spans="1:7">
      <c r="A417" s="868"/>
      <c r="B417" s="871"/>
      <c r="C417" s="461">
        <v>4270</v>
      </c>
      <c r="D417" s="127" t="s">
        <v>173</v>
      </c>
      <c r="E417" s="187">
        <v>85837</v>
      </c>
      <c r="F417" s="170">
        <v>85836.82</v>
      </c>
      <c r="G417" s="171">
        <f t="shared" si="8"/>
        <v>99.999790300220184</v>
      </c>
    </row>
    <row r="418" spans="1:7">
      <c r="A418" s="868"/>
      <c r="B418" s="871"/>
      <c r="C418" s="151">
        <v>4280</v>
      </c>
      <c r="D418" s="169" t="s">
        <v>174</v>
      </c>
      <c r="E418" s="187">
        <v>1819</v>
      </c>
      <c r="F418" s="170">
        <v>1818.75</v>
      </c>
      <c r="G418" s="171">
        <f t="shared" si="8"/>
        <v>99.986256184716879</v>
      </c>
    </row>
    <row r="419" spans="1:7">
      <c r="A419" s="868"/>
      <c r="B419" s="871"/>
      <c r="C419" s="151">
        <v>4300</v>
      </c>
      <c r="D419" s="127" t="s">
        <v>161</v>
      </c>
      <c r="E419" s="187">
        <v>62474</v>
      </c>
      <c r="F419" s="170">
        <v>62474</v>
      </c>
      <c r="G419" s="171">
        <f t="shared" si="8"/>
        <v>100</v>
      </c>
    </row>
    <row r="420" spans="1:7">
      <c r="A420" s="868"/>
      <c r="B420" s="871"/>
      <c r="C420" s="151">
        <v>4350</v>
      </c>
      <c r="D420" s="169" t="s">
        <v>175</v>
      </c>
      <c r="E420" s="187">
        <v>1005</v>
      </c>
      <c r="F420" s="170">
        <v>1004.18</v>
      </c>
      <c r="G420" s="171">
        <f t="shared" si="8"/>
        <v>99.918407960199005</v>
      </c>
    </row>
    <row r="421" spans="1:7" ht="22.5">
      <c r="A421" s="868"/>
      <c r="B421" s="871"/>
      <c r="C421" s="151">
        <v>4360</v>
      </c>
      <c r="D421" s="173" t="s">
        <v>361</v>
      </c>
      <c r="E421" s="187">
        <v>1175</v>
      </c>
      <c r="F421" s="170">
        <v>1175</v>
      </c>
      <c r="G421" s="171">
        <f t="shared" si="8"/>
        <v>100</v>
      </c>
    </row>
    <row r="422" spans="1:7" ht="22.5">
      <c r="A422" s="868"/>
      <c r="B422" s="871"/>
      <c r="C422" s="151">
        <v>4370</v>
      </c>
      <c r="D422" s="173" t="s">
        <v>362</v>
      </c>
      <c r="E422" s="187">
        <v>4890</v>
      </c>
      <c r="F422" s="170">
        <v>4890</v>
      </c>
      <c r="G422" s="171">
        <f t="shared" si="8"/>
        <v>100</v>
      </c>
    </row>
    <row r="423" spans="1:7">
      <c r="A423" s="868"/>
      <c r="B423" s="871"/>
      <c r="C423" s="151">
        <v>4410</v>
      </c>
      <c r="D423" s="127" t="s">
        <v>176</v>
      </c>
      <c r="E423" s="187">
        <v>17013</v>
      </c>
      <c r="F423" s="170">
        <v>17013</v>
      </c>
      <c r="G423" s="171">
        <f t="shared" si="8"/>
        <v>100</v>
      </c>
    </row>
    <row r="424" spans="1:7">
      <c r="A424" s="868"/>
      <c r="B424" s="871"/>
      <c r="C424" s="151">
        <v>4440</v>
      </c>
      <c r="D424" s="127" t="s">
        <v>363</v>
      </c>
      <c r="E424" s="187">
        <v>184593</v>
      </c>
      <c r="F424" s="170">
        <v>184593</v>
      </c>
      <c r="G424" s="171">
        <f t="shared" si="8"/>
        <v>100</v>
      </c>
    </row>
    <row r="425" spans="1:7">
      <c r="A425" s="868"/>
      <c r="B425" s="871"/>
      <c r="C425" s="461">
        <v>4530</v>
      </c>
      <c r="D425" s="216" t="s">
        <v>164</v>
      </c>
      <c r="E425" s="187">
        <v>8976</v>
      </c>
      <c r="F425" s="170">
        <v>8976</v>
      </c>
      <c r="G425" s="171">
        <f t="shared" si="8"/>
        <v>100</v>
      </c>
    </row>
    <row r="426" spans="1:7">
      <c r="A426" s="868"/>
      <c r="B426" s="871"/>
      <c r="C426" s="461">
        <v>4580</v>
      </c>
      <c r="D426" s="216" t="s">
        <v>43</v>
      </c>
      <c r="E426" s="187">
        <v>122</v>
      </c>
      <c r="F426" s="170">
        <v>121.33</v>
      </c>
      <c r="G426" s="171">
        <f t="shared" si="8"/>
        <v>99.450819672131146</v>
      </c>
    </row>
    <row r="427" spans="1:7" ht="24">
      <c r="A427" s="868"/>
      <c r="B427" s="871"/>
      <c r="C427" s="461">
        <v>4700</v>
      </c>
      <c r="D427" s="216" t="s">
        <v>365</v>
      </c>
      <c r="E427" s="187">
        <v>1997</v>
      </c>
      <c r="F427" s="170">
        <v>1995.18</v>
      </c>
      <c r="G427" s="171">
        <f t="shared" si="8"/>
        <v>99.908863294942407</v>
      </c>
    </row>
    <row r="428" spans="1:7" ht="24">
      <c r="A428" s="868"/>
      <c r="B428" s="871"/>
      <c r="C428" s="461">
        <v>4740</v>
      </c>
      <c r="D428" s="216" t="s">
        <v>366</v>
      </c>
      <c r="E428" s="187">
        <v>3078</v>
      </c>
      <c r="F428" s="170">
        <v>3078</v>
      </c>
      <c r="G428" s="171">
        <f t="shared" si="8"/>
        <v>100</v>
      </c>
    </row>
    <row r="429" spans="1:7" ht="22.5">
      <c r="A429" s="868"/>
      <c r="B429" s="871"/>
      <c r="C429" s="151">
        <v>4750</v>
      </c>
      <c r="D429" s="173" t="s">
        <v>367</v>
      </c>
      <c r="E429" s="187">
        <v>7700</v>
      </c>
      <c r="F429" s="170">
        <v>7700</v>
      </c>
      <c r="G429" s="171">
        <f>F429*100/E429</f>
        <v>100</v>
      </c>
    </row>
    <row r="430" spans="1:7">
      <c r="A430" s="868"/>
      <c r="B430" s="871"/>
      <c r="C430" s="461">
        <v>6050</v>
      </c>
      <c r="D430" s="216" t="s">
        <v>165</v>
      </c>
      <c r="E430" s="187">
        <v>17026</v>
      </c>
      <c r="F430" s="170">
        <v>17025.099999999999</v>
      </c>
      <c r="G430" s="171">
        <f>F430*100/E430</f>
        <v>99.994713966874173</v>
      </c>
    </row>
    <row r="431" spans="1:7">
      <c r="A431" s="868"/>
      <c r="B431" s="871"/>
      <c r="C431" s="181"/>
      <c r="D431" s="177" t="s">
        <v>206</v>
      </c>
      <c r="E431" s="182">
        <f>SUM(E432:E452)</f>
        <v>267083.00000000006</v>
      </c>
      <c r="F431" s="182">
        <f>SUM(F432:F452)</f>
        <v>267083.00000000006</v>
      </c>
      <c r="G431" s="168">
        <f t="shared" ref="G431:G452" si="9">F431*100/E431</f>
        <v>100</v>
      </c>
    </row>
    <row r="432" spans="1:7">
      <c r="A432" s="868"/>
      <c r="B432" s="871"/>
      <c r="C432" s="151">
        <v>3020</v>
      </c>
      <c r="D432" s="169" t="s">
        <v>166</v>
      </c>
      <c r="E432" s="187">
        <v>134.80000000000001</v>
      </c>
      <c r="F432" s="170">
        <v>134.80000000000001</v>
      </c>
      <c r="G432" s="171">
        <f t="shared" si="9"/>
        <v>100</v>
      </c>
    </row>
    <row r="433" spans="1:7">
      <c r="A433" s="868"/>
      <c r="B433" s="871"/>
      <c r="C433" s="151">
        <v>4010</v>
      </c>
      <c r="D433" s="169" t="s">
        <v>167</v>
      </c>
      <c r="E433" s="187">
        <v>164621.97</v>
      </c>
      <c r="F433" s="170">
        <v>164621.97</v>
      </c>
      <c r="G433" s="171">
        <f t="shared" si="9"/>
        <v>100</v>
      </c>
    </row>
    <row r="434" spans="1:7">
      <c r="A434" s="868"/>
      <c r="B434" s="871"/>
      <c r="C434" s="151">
        <v>4040</v>
      </c>
      <c r="D434" s="127" t="s">
        <v>168</v>
      </c>
      <c r="E434" s="187">
        <v>10479.06</v>
      </c>
      <c r="F434" s="170">
        <v>10479.06</v>
      </c>
      <c r="G434" s="171">
        <f t="shared" si="9"/>
        <v>100</v>
      </c>
    </row>
    <row r="435" spans="1:7">
      <c r="A435" s="868"/>
      <c r="B435" s="871"/>
      <c r="C435" s="151">
        <v>4110</v>
      </c>
      <c r="D435" s="169" t="s">
        <v>169</v>
      </c>
      <c r="E435" s="187">
        <v>26908.44</v>
      </c>
      <c r="F435" s="170">
        <v>26908.44</v>
      </c>
      <c r="G435" s="171">
        <f t="shared" si="9"/>
        <v>100</v>
      </c>
    </row>
    <row r="436" spans="1:7">
      <c r="A436" s="868"/>
      <c r="B436" s="871"/>
      <c r="C436" s="151">
        <v>4120</v>
      </c>
      <c r="D436" s="169" t="s">
        <v>191</v>
      </c>
      <c r="E436" s="187">
        <v>4388.5</v>
      </c>
      <c r="F436" s="170">
        <v>4388.5</v>
      </c>
      <c r="G436" s="171">
        <f t="shared" si="9"/>
        <v>100</v>
      </c>
    </row>
    <row r="437" spans="1:7">
      <c r="A437" s="868"/>
      <c r="B437" s="871"/>
      <c r="C437" s="151">
        <v>4170</v>
      </c>
      <c r="D437" s="169" t="s">
        <v>170</v>
      </c>
      <c r="E437" s="187">
        <v>510.13</v>
      </c>
      <c r="F437" s="170">
        <v>510.13</v>
      </c>
      <c r="G437" s="171">
        <f t="shared" si="9"/>
        <v>100</v>
      </c>
    </row>
    <row r="438" spans="1:7">
      <c r="A438" s="868"/>
      <c r="B438" s="871"/>
      <c r="C438" s="151">
        <v>4210</v>
      </c>
      <c r="D438" s="169" t="s">
        <v>171</v>
      </c>
      <c r="E438" s="187">
        <v>2516.6999999999998</v>
      </c>
      <c r="F438" s="170">
        <v>2516.6999999999998</v>
      </c>
      <c r="G438" s="171">
        <f t="shared" si="9"/>
        <v>100</v>
      </c>
    </row>
    <row r="439" spans="1:7">
      <c r="A439" s="868"/>
      <c r="B439" s="871"/>
      <c r="C439" s="151">
        <v>4240</v>
      </c>
      <c r="D439" s="169" t="s">
        <v>357</v>
      </c>
      <c r="E439" s="187">
        <v>487.62</v>
      </c>
      <c r="F439" s="170">
        <v>487.62</v>
      </c>
      <c r="G439" s="171">
        <f t="shared" si="9"/>
        <v>100</v>
      </c>
    </row>
    <row r="440" spans="1:7">
      <c r="A440" s="868"/>
      <c r="B440" s="871"/>
      <c r="C440" s="151">
        <v>4260</v>
      </c>
      <c r="D440" s="169" t="s">
        <v>172</v>
      </c>
      <c r="E440" s="187">
        <v>25857</v>
      </c>
      <c r="F440" s="170">
        <v>25857</v>
      </c>
      <c r="G440" s="171">
        <f t="shared" si="9"/>
        <v>100</v>
      </c>
    </row>
    <row r="441" spans="1:7">
      <c r="A441" s="868"/>
      <c r="B441" s="871"/>
      <c r="C441" s="151">
        <v>4270</v>
      </c>
      <c r="D441" s="169" t="s">
        <v>173</v>
      </c>
      <c r="E441" s="187">
        <v>1797.92</v>
      </c>
      <c r="F441" s="170">
        <v>1797.92</v>
      </c>
      <c r="G441" s="171">
        <f t="shared" si="9"/>
        <v>100</v>
      </c>
    </row>
    <row r="442" spans="1:7">
      <c r="A442" s="868"/>
      <c r="B442" s="871"/>
      <c r="C442" s="151">
        <v>4280</v>
      </c>
      <c r="D442" s="169" t="s">
        <v>174</v>
      </c>
      <c r="E442" s="187">
        <v>138.44</v>
      </c>
      <c r="F442" s="170">
        <v>138.44</v>
      </c>
      <c r="G442" s="171">
        <f t="shared" si="9"/>
        <v>100</v>
      </c>
    </row>
    <row r="443" spans="1:7">
      <c r="A443" s="868"/>
      <c r="B443" s="871"/>
      <c r="C443" s="151">
        <v>4300</v>
      </c>
      <c r="D443" s="169" t="s">
        <v>161</v>
      </c>
      <c r="E443" s="187">
        <v>16237</v>
      </c>
      <c r="F443" s="170">
        <v>16237</v>
      </c>
      <c r="G443" s="171">
        <f t="shared" si="9"/>
        <v>100</v>
      </c>
    </row>
    <row r="444" spans="1:7">
      <c r="A444" s="868"/>
      <c r="B444" s="871"/>
      <c r="C444" s="151">
        <v>4350</v>
      </c>
      <c r="D444" s="169" t="s">
        <v>175</v>
      </c>
      <c r="E444" s="187">
        <v>491.44</v>
      </c>
      <c r="F444" s="170">
        <v>491.44</v>
      </c>
      <c r="G444" s="171">
        <f t="shared" si="9"/>
        <v>100</v>
      </c>
    </row>
    <row r="445" spans="1:7" ht="22.5">
      <c r="A445" s="868"/>
      <c r="B445" s="871"/>
      <c r="C445" s="151">
        <v>4370</v>
      </c>
      <c r="D445" s="173" t="s">
        <v>362</v>
      </c>
      <c r="E445" s="187">
        <v>600</v>
      </c>
      <c r="F445" s="170">
        <v>600</v>
      </c>
      <c r="G445" s="171">
        <f t="shared" si="9"/>
        <v>100</v>
      </c>
    </row>
    <row r="446" spans="1:7">
      <c r="A446" s="868"/>
      <c r="B446" s="871"/>
      <c r="C446" s="151">
        <v>4410</v>
      </c>
      <c r="D446" s="169" t="s">
        <v>176</v>
      </c>
      <c r="E446" s="187">
        <v>371.61</v>
      </c>
      <c r="F446" s="170">
        <v>371.61</v>
      </c>
      <c r="G446" s="171">
        <f t="shared" si="9"/>
        <v>100</v>
      </c>
    </row>
    <row r="447" spans="1:7">
      <c r="A447" s="868"/>
      <c r="B447" s="871"/>
      <c r="C447" s="151">
        <v>4420</v>
      </c>
      <c r="D447" s="173" t="s">
        <v>183</v>
      </c>
      <c r="E447" s="187">
        <v>125.2</v>
      </c>
      <c r="F447" s="170">
        <v>125.2</v>
      </c>
      <c r="G447" s="171">
        <f t="shared" si="9"/>
        <v>100</v>
      </c>
    </row>
    <row r="448" spans="1:7">
      <c r="A448" s="868"/>
      <c r="B448" s="871"/>
      <c r="C448" s="461">
        <v>4430</v>
      </c>
      <c r="D448" s="76" t="s">
        <v>177</v>
      </c>
      <c r="E448" s="187">
        <v>60</v>
      </c>
      <c r="F448" s="170">
        <v>60</v>
      </c>
      <c r="G448" s="171">
        <f t="shared" si="9"/>
        <v>100</v>
      </c>
    </row>
    <row r="449" spans="1:7">
      <c r="A449" s="868"/>
      <c r="B449" s="871"/>
      <c r="C449" s="151">
        <v>4440</v>
      </c>
      <c r="D449" s="169" t="s">
        <v>363</v>
      </c>
      <c r="E449" s="187">
        <v>10388.15</v>
      </c>
      <c r="F449" s="170">
        <v>10388.15</v>
      </c>
      <c r="G449" s="171">
        <f t="shared" si="9"/>
        <v>100</v>
      </c>
    </row>
    <row r="450" spans="1:7" ht="24">
      <c r="A450" s="868"/>
      <c r="B450" s="871"/>
      <c r="C450" s="461">
        <v>4700</v>
      </c>
      <c r="D450" s="216" t="s">
        <v>365</v>
      </c>
      <c r="E450" s="187">
        <v>240</v>
      </c>
      <c r="F450" s="170">
        <v>240</v>
      </c>
      <c r="G450" s="171">
        <f t="shared" si="9"/>
        <v>100</v>
      </c>
    </row>
    <row r="451" spans="1:7" ht="22.5">
      <c r="A451" s="868"/>
      <c r="B451" s="871"/>
      <c r="C451" s="151">
        <v>4740</v>
      </c>
      <c r="D451" s="173" t="s">
        <v>366</v>
      </c>
      <c r="E451" s="187">
        <v>98.94</v>
      </c>
      <c r="F451" s="170">
        <v>98.94</v>
      </c>
      <c r="G451" s="171">
        <f t="shared" si="9"/>
        <v>100</v>
      </c>
    </row>
    <row r="452" spans="1:7" ht="22.5">
      <c r="A452" s="868"/>
      <c r="B452" s="871"/>
      <c r="C452" s="151">
        <v>4750</v>
      </c>
      <c r="D452" s="173" t="s">
        <v>367</v>
      </c>
      <c r="E452" s="187">
        <v>630.08000000000004</v>
      </c>
      <c r="F452" s="170">
        <v>630.08000000000004</v>
      </c>
      <c r="G452" s="171">
        <f t="shared" si="9"/>
        <v>100</v>
      </c>
    </row>
    <row r="453" spans="1:7">
      <c r="A453" s="868"/>
      <c r="B453" s="871"/>
      <c r="C453" s="176"/>
      <c r="D453" s="184" t="s">
        <v>193</v>
      </c>
      <c r="E453" s="230">
        <f>SUM(E454:E459)</f>
        <v>529607</v>
      </c>
      <c r="F453" s="230">
        <f>SUM(F454:F459)</f>
        <v>511355.52</v>
      </c>
      <c r="G453" s="171">
        <f t="shared" ref="G453:G459" si="10">F453*100/E453</f>
        <v>96.553769115589489</v>
      </c>
    </row>
    <row r="454" spans="1:7" ht="22.5">
      <c r="A454" s="868"/>
      <c r="B454" s="871"/>
      <c r="C454" s="151">
        <v>2540</v>
      </c>
      <c r="D454" s="173" t="s">
        <v>375</v>
      </c>
      <c r="E454" s="187">
        <v>360000</v>
      </c>
      <c r="F454" s="170">
        <v>342087.9</v>
      </c>
      <c r="G454" s="171">
        <f t="shared" si="10"/>
        <v>95.024416666666667</v>
      </c>
    </row>
    <row r="455" spans="1:7">
      <c r="A455" s="868"/>
      <c r="B455" s="871"/>
      <c r="C455" s="151">
        <v>4010</v>
      </c>
      <c r="D455" s="169" t="s">
        <v>167</v>
      </c>
      <c r="E455" s="187">
        <v>20</v>
      </c>
      <c r="F455" s="170">
        <v>0</v>
      </c>
      <c r="G455" s="171">
        <f t="shared" si="10"/>
        <v>0</v>
      </c>
    </row>
    <row r="456" spans="1:7">
      <c r="A456" s="868"/>
      <c r="B456" s="871"/>
      <c r="C456" s="461">
        <v>4270</v>
      </c>
      <c r="D456" s="169" t="s">
        <v>173</v>
      </c>
      <c r="E456" s="187">
        <v>23904</v>
      </c>
      <c r="F456" s="170">
        <v>23903.46</v>
      </c>
      <c r="G456" s="171">
        <f t="shared" si="10"/>
        <v>99.997740963855421</v>
      </c>
    </row>
    <row r="457" spans="1:7">
      <c r="A457" s="868"/>
      <c r="B457" s="871"/>
      <c r="C457" s="461">
        <v>4300</v>
      </c>
      <c r="D457" s="169" t="s">
        <v>161</v>
      </c>
      <c r="E457" s="187">
        <v>1342</v>
      </c>
      <c r="F457" s="170">
        <v>1342</v>
      </c>
      <c r="G457" s="171">
        <f t="shared" si="10"/>
        <v>100</v>
      </c>
    </row>
    <row r="458" spans="1:7">
      <c r="A458" s="868"/>
      <c r="B458" s="871"/>
      <c r="C458" s="151">
        <v>6050</v>
      </c>
      <c r="D458" s="173" t="s">
        <v>165</v>
      </c>
      <c r="E458" s="187">
        <v>128141</v>
      </c>
      <c r="F458" s="170">
        <v>127822.17</v>
      </c>
      <c r="G458" s="171">
        <f t="shared" si="10"/>
        <v>99.751188144309779</v>
      </c>
    </row>
    <row r="459" spans="1:7" ht="24">
      <c r="A459" s="868"/>
      <c r="B459" s="872"/>
      <c r="C459" s="461">
        <v>6060</v>
      </c>
      <c r="D459" s="76" t="s">
        <v>184</v>
      </c>
      <c r="E459" s="187">
        <v>16200</v>
      </c>
      <c r="F459" s="170">
        <v>16199.99</v>
      </c>
      <c r="G459" s="171">
        <f t="shared" si="10"/>
        <v>99.999938271604933</v>
      </c>
    </row>
    <row r="460" spans="1:7" ht="21" customHeight="1">
      <c r="A460" s="868"/>
      <c r="B460" s="165">
        <v>80140</v>
      </c>
      <c r="C460" s="165"/>
      <c r="D460" s="251" t="s">
        <v>406</v>
      </c>
      <c r="E460" s="182">
        <f>SUM(E461:E472)</f>
        <v>234093</v>
      </c>
      <c r="F460" s="182">
        <f>SUM(F461:F472)</f>
        <v>234092.06</v>
      </c>
      <c r="G460" s="171">
        <f t="shared" ref="G460:G474" si="11">F460*100/E460</f>
        <v>99.9995984501886</v>
      </c>
    </row>
    <row r="461" spans="1:7" ht="13.5" customHeight="1">
      <c r="A461" s="868"/>
      <c r="B461" s="867"/>
      <c r="C461" s="461">
        <v>3020</v>
      </c>
      <c r="D461" s="214" t="s">
        <v>166</v>
      </c>
      <c r="E461" s="187">
        <v>100</v>
      </c>
      <c r="F461" s="187">
        <v>99.99</v>
      </c>
      <c r="G461" s="171">
        <f t="shared" si="11"/>
        <v>99.99</v>
      </c>
    </row>
    <row r="462" spans="1:7">
      <c r="A462" s="868"/>
      <c r="B462" s="868"/>
      <c r="C462" s="151">
        <v>4010</v>
      </c>
      <c r="D462" s="169" t="s">
        <v>167</v>
      </c>
      <c r="E462" s="187">
        <v>31500</v>
      </c>
      <c r="F462" s="170">
        <v>31500</v>
      </c>
      <c r="G462" s="171">
        <f t="shared" si="11"/>
        <v>100</v>
      </c>
    </row>
    <row r="463" spans="1:7">
      <c r="A463" s="868"/>
      <c r="B463" s="868"/>
      <c r="C463" s="461">
        <v>4040</v>
      </c>
      <c r="D463" s="127" t="s">
        <v>168</v>
      </c>
      <c r="E463" s="187">
        <v>2108</v>
      </c>
      <c r="F463" s="170">
        <v>2107.4699999999998</v>
      </c>
      <c r="G463" s="171">
        <f t="shared" si="11"/>
        <v>99.974857685009468</v>
      </c>
    </row>
    <row r="464" spans="1:7">
      <c r="A464" s="868"/>
      <c r="B464" s="868"/>
      <c r="C464" s="151">
        <v>4110</v>
      </c>
      <c r="D464" s="169" t="s">
        <v>169</v>
      </c>
      <c r="E464" s="187">
        <v>8101</v>
      </c>
      <c r="F464" s="170">
        <v>8101</v>
      </c>
      <c r="G464" s="171">
        <f t="shared" si="11"/>
        <v>100</v>
      </c>
    </row>
    <row r="465" spans="1:7">
      <c r="A465" s="868"/>
      <c r="B465" s="868"/>
      <c r="C465" s="151">
        <v>4120</v>
      </c>
      <c r="D465" s="169" t="s">
        <v>191</v>
      </c>
      <c r="E465" s="187">
        <v>1301</v>
      </c>
      <c r="F465" s="170">
        <v>1301</v>
      </c>
      <c r="G465" s="171">
        <f t="shared" si="11"/>
        <v>100</v>
      </c>
    </row>
    <row r="466" spans="1:7">
      <c r="A466" s="868"/>
      <c r="B466" s="868"/>
      <c r="C466" s="151">
        <v>4170</v>
      </c>
      <c r="D466" s="169" t="s">
        <v>170</v>
      </c>
      <c r="E466" s="187">
        <v>33000</v>
      </c>
      <c r="F466" s="170">
        <v>33000</v>
      </c>
      <c r="G466" s="171">
        <f t="shared" si="11"/>
        <v>100</v>
      </c>
    </row>
    <row r="467" spans="1:7">
      <c r="A467" s="868"/>
      <c r="B467" s="868"/>
      <c r="C467" s="151">
        <v>4210</v>
      </c>
      <c r="D467" s="169" t="s">
        <v>171</v>
      </c>
      <c r="E467" s="187">
        <v>85093</v>
      </c>
      <c r="F467" s="170">
        <v>85093</v>
      </c>
      <c r="G467" s="171">
        <f t="shared" si="11"/>
        <v>100</v>
      </c>
    </row>
    <row r="468" spans="1:7">
      <c r="A468" s="868"/>
      <c r="B468" s="868"/>
      <c r="C468" s="151">
        <v>4260</v>
      </c>
      <c r="D468" s="169" t="s">
        <v>172</v>
      </c>
      <c r="E468" s="187">
        <v>36730</v>
      </c>
      <c r="F468" s="170">
        <v>36730</v>
      </c>
      <c r="G468" s="171">
        <f t="shared" si="11"/>
        <v>100</v>
      </c>
    </row>
    <row r="469" spans="1:7">
      <c r="A469" s="868"/>
      <c r="B469" s="868"/>
      <c r="C469" s="151">
        <v>4270</v>
      </c>
      <c r="D469" s="169" t="s">
        <v>173</v>
      </c>
      <c r="E469" s="187">
        <v>22103</v>
      </c>
      <c r="F469" s="170">
        <v>22102.6</v>
      </c>
      <c r="G469" s="171">
        <f t="shared" si="11"/>
        <v>99.998190290910742</v>
      </c>
    </row>
    <row r="470" spans="1:7">
      <c r="A470" s="868"/>
      <c r="B470" s="868"/>
      <c r="C470" s="151">
        <v>4300</v>
      </c>
      <c r="D470" s="169" t="s">
        <v>161</v>
      </c>
      <c r="E470" s="187">
        <v>2622</v>
      </c>
      <c r="F470" s="170">
        <v>2622</v>
      </c>
      <c r="G470" s="171">
        <f t="shared" si="11"/>
        <v>100</v>
      </c>
    </row>
    <row r="471" spans="1:7">
      <c r="A471" s="868"/>
      <c r="B471" s="868"/>
      <c r="C471" s="151">
        <v>4440</v>
      </c>
      <c r="D471" s="127" t="s">
        <v>363</v>
      </c>
      <c r="E471" s="187">
        <v>1000</v>
      </c>
      <c r="F471" s="170">
        <v>1000</v>
      </c>
      <c r="G471" s="171">
        <f t="shared" si="11"/>
        <v>100</v>
      </c>
    </row>
    <row r="472" spans="1:7">
      <c r="A472" s="868"/>
      <c r="B472" s="869"/>
      <c r="C472" s="151">
        <v>4530</v>
      </c>
      <c r="D472" s="173" t="s">
        <v>164</v>
      </c>
      <c r="E472" s="187">
        <v>10435</v>
      </c>
      <c r="F472" s="170">
        <v>10435</v>
      </c>
      <c r="G472" s="171">
        <f t="shared" si="11"/>
        <v>100</v>
      </c>
    </row>
    <row r="473" spans="1:7" s="4" customFormat="1" ht="24">
      <c r="A473" s="868"/>
      <c r="B473" s="462">
        <v>80144</v>
      </c>
      <c r="C473" s="465"/>
      <c r="D473" s="112" t="s">
        <v>610</v>
      </c>
      <c r="E473" s="182">
        <f>E474</f>
        <v>143396</v>
      </c>
      <c r="F473" s="167">
        <f>F474</f>
        <v>143395.20000000001</v>
      </c>
      <c r="G473" s="171">
        <f t="shared" si="11"/>
        <v>99.999442104382283</v>
      </c>
    </row>
    <row r="474" spans="1:7" ht="22.5">
      <c r="A474" s="868"/>
      <c r="B474" s="464"/>
      <c r="C474" s="461">
        <v>2540</v>
      </c>
      <c r="D474" s="173" t="s">
        <v>375</v>
      </c>
      <c r="E474" s="187">
        <v>143396</v>
      </c>
      <c r="F474" s="170">
        <v>143395.20000000001</v>
      </c>
      <c r="G474" s="171">
        <f t="shared" si="11"/>
        <v>99.999442104382283</v>
      </c>
    </row>
    <row r="475" spans="1:7">
      <c r="A475" s="868"/>
      <c r="B475" s="165">
        <v>80146</v>
      </c>
      <c r="C475" s="165"/>
      <c r="D475" s="185" t="s">
        <v>141</v>
      </c>
      <c r="E475" s="182">
        <f>E476+E481+E485+E487+E491+E495</f>
        <v>55799</v>
      </c>
      <c r="F475" s="182">
        <f>F476+F481+F485+F487+F491+F495</f>
        <v>42577.23</v>
      </c>
      <c r="G475" s="168">
        <f>F475*100/E475</f>
        <v>76.304647036685239</v>
      </c>
    </row>
    <row r="476" spans="1:7">
      <c r="A476" s="868"/>
      <c r="B476" s="873"/>
      <c r="C476" s="165"/>
      <c r="D476" s="184" t="s">
        <v>205</v>
      </c>
      <c r="E476" s="182">
        <f>E478+E479+E480+E477</f>
        <v>16812</v>
      </c>
      <c r="F476" s="167">
        <f>F478+F479+F480+F477</f>
        <v>16810.580000000002</v>
      </c>
      <c r="G476" s="168">
        <f t="shared" ref="G476:G528" si="12">F476*100/E476</f>
        <v>99.991553652153243</v>
      </c>
    </row>
    <row r="477" spans="1:7">
      <c r="A477" s="868"/>
      <c r="B477" s="873"/>
      <c r="C477" s="461">
        <v>3020</v>
      </c>
      <c r="D477" s="214" t="s">
        <v>166</v>
      </c>
      <c r="E477" s="187">
        <v>3265</v>
      </c>
      <c r="F477" s="170">
        <v>3265</v>
      </c>
      <c r="G477" s="171">
        <f t="shared" si="12"/>
        <v>100</v>
      </c>
    </row>
    <row r="478" spans="1:7">
      <c r="A478" s="868"/>
      <c r="B478" s="873"/>
      <c r="C478" s="151">
        <v>4240</v>
      </c>
      <c r="D478" s="127" t="s">
        <v>357</v>
      </c>
      <c r="E478" s="187">
        <v>9182</v>
      </c>
      <c r="F478" s="170">
        <v>9182</v>
      </c>
      <c r="G478" s="171">
        <f t="shared" si="12"/>
        <v>100</v>
      </c>
    </row>
    <row r="479" spans="1:7">
      <c r="A479" s="868"/>
      <c r="B479" s="873"/>
      <c r="C479" s="151">
        <v>4300</v>
      </c>
      <c r="D479" s="127" t="s">
        <v>161</v>
      </c>
      <c r="E479" s="187">
        <v>1601</v>
      </c>
      <c r="F479" s="170">
        <v>1600.14</v>
      </c>
      <c r="G479" s="171">
        <f t="shared" si="12"/>
        <v>99.946283572767015</v>
      </c>
    </row>
    <row r="480" spans="1:7">
      <c r="A480" s="868"/>
      <c r="B480" s="873"/>
      <c r="C480" s="151">
        <v>4410</v>
      </c>
      <c r="D480" s="169" t="s">
        <v>176</v>
      </c>
      <c r="E480" s="187">
        <v>2764</v>
      </c>
      <c r="F480" s="170">
        <v>2763.44</v>
      </c>
      <c r="G480" s="171">
        <f t="shared" si="12"/>
        <v>99.979739507959479</v>
      </c>
    </row>
    <row r="481" spans="1:7">
      <c r="A481" s="868"/>
      <c r="B481" s="873"/>
      <c r="C481" s="151"/>
      <c r="D481" s="184" t="s">
        <v>204</v>
      </c>
      <c r="E481" s="187">
        <f>E482+E483+E484</f>
        <v>12773.000000000002</v>
      </c>
      <c r="F481" s="187">
        <f>F482+F483+F484</f>
        <v>6657.0500000000011</v>
      </c>
      <c r="G481" s="171">
        <f t="shared" si="12"/>
        <v>52.118139826195886</v>
      </c>
    </row>
    <row r="482" spans="1:7">
      <c r="A482" s="868"/>
      <c r="B482" s="873"/>
      <c r="C482" s="151">
        <v>4300</v>
      </c>
      <c r="D482" s="127" t="s">
        <v>161</v>
      </c>
      <c r="E482" s="187">
        <v>9375.9500000000007</v>
      </c>
      <c r="F482" s="170">
        <v>3260</v>
      </c>
      <c r="G482" s="171">
        <f t="shared" si="12"/>
        <v>34.769809992587412</v>
      </c>
    </row>
    <row r="483" spans="1:7">
      <c r="A483" s="868"/>
      <c r="B483" s="873"/>
      <c r="C483" s="151">
        <v>4410</v>
      </c>
      <c r="D483" s="169" t="s">
        <v>176</v>
      </c>
      <c r="E483" s="187">
        <v>2168.2800000000002</v>
      </c>
      <c r="F483" s="170">
        <v>2168.2800000000002</v>
      </c>
      <c r="G483" s="171">
        <f t="shared" si="12"/>
        <v>100</v>
      </c>
    </row>
    <row r="484" spans="1:7" ht="22.5">
      <c r="A484" s="868"/>
      <c r="B484" s="873"/>
      <c r="C484" s="151">
        <v>4750</v>
      </c>
      <c r="D484" s="173" t="s">
        <v>367</v>
      </c>
      <c r="E484" s="187">
        <v>1228.77</v>
      </c>
      <c r="F484" s="170">
        <v>1228.77</v>
      </c>
      <c r="G484" s="171">
        <f t="shared" si="12"/>
        <v>100</v>
      </c>
    </row>
    <row r="485" spans="1:7">
      <c r="A485" s="868"/>
      <c r="B485" s="873"/>
      <c r="C485" s="151"/>
      <c r="D485" s="184" t="s">
        <v>207</v>
      </c>
      <c r="E485" s="187">
        <f>E486</f>
        <v>8404</v>
      </c>
      <c r="F485" s="170">
        <f>F486</f>
        <v>8404</v>
      </c>
      <c r="G485" s="171">
        <f t="shared" si="12"/>
        <v>100</v>
      </c>
    </row>
    <row r="486" spans="1:7">
      <c r="A486" s="868"/>
      <c r="B486" s="873"/>
      <c r="C486" s="151">
        <v>4300</v>
      </c>
      <c r="D486" s="127" t="s">
        <v>161</v>
      </c>
      <c r="E486" s="187">
        <v>8404</v>
      </c>
      <c r="F486" s="170">
        <v>8404</v>
      </c>
      <c r="G486" s="171">
        <f t="shared" si="12"/>
        <v>100</v>
      </c>
    </row>
    <row r="487" spans="1:7">
      <c r="A487" s="868"/>
      <c r="B487" s="873"/>
      <c r="C487" s="151"/>
      <c r="D487" s="184" t="s">
        <v>206</v>
      </c>
      <c r="E487" s="182">
        <f>E488+E489+E490</f>
        <v>3316</v>
      </c>
      <c r="F487" s="182">
        <f>F488+F489+F490</f>
        <v>3315.6</v>
      </c>
      <c r="G487" s="168">
        <f t="shared" si="12"/>
        <v>99.987937273823889</v>
      </c>
    </row>
    <row r="488" spans="1:7">
      <c r="A488" s="868"/>
      <c r="B488" s="873"/>
      <c r="C488" s="151">
        <v>4300</v>
      </c>
      <c r="D488" s="127" t="s">
        <v>161</v>
      </c>
      <c r="E488" s="187">
        <v>1201</v>
      </c>
      <c r="F488" s="170">
        <v>1201</v>
      </c>
      <c r="G488" s="171">
        <f t="shared" si="12"/>
        <v>100</v>
      </c>
    </row>
    <row r="489" spans="1:7">
      <c r="A489" s="868"/>
      <c r="B489" s="873"/>
      <c r="C489" s="151">
        <v>4410</v>
      </c>
      <c r="D489" s="169" t="s">
        <v>176</v>
      </c>
      <c r="E489" s="187">
        <v>855</v>
      </c>
      <c r="F489" s="170">
        <v>854.6</v>
      </c>
      <c r="G489" s="171">
        <f t="shared" si="12"/>
        <v>99.953216374269005</v>
      </c>
    </row>
    <row r="490" spans="1:7" ht="24">
      <c r="A490" s="868"/>
      <c r="B490" s="873"/>
      <c r="C490" s="461">
        <v>4700</v>
      </c>
      <c r="D490" s="216" t="s">
        <v>365</v>
      </c>
      <c r="E490" s="187">
        <v>1260</v>
      </c>
      <c r="F490" s="170">
        <v>1260</v>
      </c>
      <c r="G490" s="171">
        <f t="shared" si="12"/>
        <v>100</v>
      </c>
    </row>
    <row r="491" spans="1:7">
      <c r="A491" s="868"/>
      <c r="B491" s="873"/>
      <c r="C491" s="151"/>
      <c r="D491" s="184" t="s">
        <v>333</v>
      </c>
      <c r="E491" s="182">
        <f>E493+E494+E492</f>
        <v>7390</v>
      </c>
      <c r="F491" s="167">
        <f>F493+F494+F492</f>
        <v>7390</v>
      </c>
      <c r="G491" s="168">
        <f t="shared" si="12"/>
        <v>100</v>
      </c>
    </row>
    <row r="492" spans="1:7">
      <c r="A492" s="868"/>
      <c r="B492" s="873"/>
      <c r="C492" s="461">
        <v>3020</v>
      </c>
      <c r="D492" s="214" t="s">
        <v>166</v>
      </c>
      <c r="E492" s="187">
        <v>2900</v>
      </c>
      <c r="F492" s="170">
        <v>2900</v>
      </c>
      <c r="G492" s="171">
        <f t="shared" si="12"/>
        <v>100</v>
      </c>
    </row>
    <row r="493" spans="1:7">
      <c r="A493" s="868"/>
      <c r="B493" s="873"/>
      <c r="C493" s="151">
        <v>4300</v>
      </c>
      <c r="D493" s="127" t="s">
        <v>161</v>
      </c>
      <c r="E493" s="187">
        <v>3820</v>
      </c>
      <c r="F493" s="170">
        <v>3820</v>
      </c>
      <c r="G493" s="171">
        <f t="shared" si="12"/>
        <v>100</v>
      </c>
    </row>
    <row r="494" spans="1:7" ht="22.5">
      <c r="A494" s="868"/>
      <c r="B494" s="873"/>
      <c r="C494" s="151">
        <v>4700</v>
      </c>
      <c r="D494" s="173" t="s">
        <v>365</v>
      </c>
      <c r="E494" s="187">
        <v>670</v>
      </c>
      <c r="F494" s="170">
        <v>670</v>
      </c>
      <c r="G494" s="171">
        <f t="shared" si="12"/>
        <v>100</v>
      </c>
    </row>
    <row r="495" spans="1:7">
      <c r="A495" s="868"/>
      <c r="B495" s="873"/>
      <c r="C495" s="151"/>
      <c r="D495" s="184" t="s">
        <v>193</v>
      </c>
      <c r="E495" s="475">
        <f>E496</f>
        <v>7104</v>
      </c>
      <c r="F495" s="170">
        <f>F496</f>
        <v>0</v>
      </c>
      <c r="G495" s="171">
        <f t="shared" si="12"/>
        <v>0</v>
      </c>
    </row>
    <row r="496" spans="1:7">
      <c r="A496" s="868"/>
      <c r="B496" s="873"/>
      <c r="C496" s="151">
        <v>4300</v>
      </c>
      <c r="D496" s="127" t="s">
        <v>161</v>
      </c>
      <c r="E496" s="187">
        <v>7104</v>
      </c>
      <c r="F496" s="170"/>
      <c r="G496" s="171">
        <f t="shared" si="12"/>
        <v>0</v>
      </c>
    </row>
    <row r="497" spans="1:7">
      <c r="A497" s="868"/>
      <c r="B497" s="165">
        <v>80148</v>
      </c>
      <c r="C497" s="151"/>
      <c r="D497" s="252" t="s">
        <v>412</v>
      </c>
      <c r="E497" s="182">
        <f>SUM(E498:E506)</f>
        <v>213133</v>
      </c>
      <c r="F497" s="182">
        <f>SUM(F498:F506)</f>
        <v>213132.77000000002</v>
      </c>
      <c r="G497" s="171">
        <f t="shared" si="12"/>
        <v>99.999892086162163</v>
      </c>
    </row>
    <row r="498" spans="1:7">
      <c r="A498" s="868"/>
      <c r="B498" s="867"/>
      <c r="C498" s="151">
        <v>4010</v>
      </c>
      <c r="D498" s="127" t="s">
        <v>167</v>
      </c>
      <c r="E498" s="187">
        <v>59260</v>
      </c>
      <c r="F498" s="170">
        <v>59259.89</v>
      </c>
      <c r="G498" s="171">
        <f t="shared" si="12"/>
        <v>99.999814377320277</v>
      </c>
    </row>
    <row r="499" spans="1:7">
      <c r="A499" s="868"/>
      <c r="B499" s="868"/>
      <c r="C499" s="461">
        <v>4040</v>
      </c>
      <c r="D499" s="127" t="s">
        <v>168</v>
      </c>
      <c r="E499" s="187">
        <v>4146</v>
      </c>
      <c r="F499" s="170">
        <v>4146</v>
      </c>
      <c r="G499" s="171"/>
    </row>
    <row r="500" spans="1:7">
      <c r="A500" s="868"/>
      <c r="B500" s="868"/>
      <c r="C500" s="151">
        <v>4110</v>
      </c>
      <c r="D500" s="127" t="s">
        <v>169</v>
      </c>
      <c r="E500" s="187">
        <v>8996</v>
      </c>
      <c r="F500" s="170">
        <v>8995.56</v>
      </c>
      <c r="G500" s="171">
        <f t="shared" si="12"/>
        <v>99.995108937305474</v>
      </c>
    </row>
    <row r="501" spans="1:7">
      <c r="A501" s="868"/>
      <c r="B501" s="868"/>
      <c r="C501" s="151">
        <v>4120</v>
      </c>
      <c r="D501" s="127" t="s">
        <v>191</v>
      </c>
      <c r="E501" s="187">
        <v>1506</v>
      </c>
      <c r="F501" s="170">
        <v>1506</v>
      </c>
      <c r="G501" s="171">
        <f t="shared" si="12"/>
        <v>100</v>
      </c>
    </row>
    <row r="502" spans="1:7">
      <c r="A502" s="868"/>
      <c r="B502" s="868"/>
      <c r="C502" s="151">
        <v>4210</v>
      </c>
      <c r="D502" s="169" t="s">
        <v>171</v>
      </c>
      <c r="E502" s="187">
        <v>7642</v>
      </c>
      <c r="F502" s="170">
        <v>7642.35</v>
      </c>
      <c r="G502" s="171">
        <f t="shared" si="12"/>
        <v>100.00457995289192</v>
      </c>
    </row>
    <row r="503" spans="1:7">
      <c r="A503" s="868"/>
      <c r="B503" s="868"/>
      <c r="C503" s="151">
        <v>4220</v>
      </c>
      <c r="D503" s="186" t="s">
        <v>197</v>
      </c>
      <c r="E503" s="187">
        <v>118129</v>
      </c>
      <c r="F503" s="170">
        <v>118129.33</v>
      </c>
      <c r="G503" s="171">
        <f t="shared" si="12"/>
        <v>100.00027935561971</v>
      </c>
    </row>
    <row r="504" spans="1:7">
      <c r="A504" s="868"/>
      <c r="B504" s="868"/>
      <c r="C504" s="151">
        <v>4260</v>
      </c>
      <c r="D504" s="169" t="s">
        <v>172</v>
      </c>
      <c r="E504" s="187">
        <v>3430</v>
      </c>
      <c r="F504" s="170">
        <v>3430</v>
      </c>
      <c r="G504" s="171">
        <f t="shared" si="12"/>
        <v>100</v>
      </c>
    </row>
    <row r="505" spans="1:7">
      <c r="A505" s="868"/>
      <c r="B505" s="868"/>
      <c r="C505" s="151">
        <v>4300</v>
      </c>
      <c r="D505" s="169" t="s">
        <v>161</v>
      </c>
      <c r="E505" s="187">
        <v>6524</v>
      </c>
      <c r="F505" s="170">
        <v>6523.64</v>
      </c>
      <c r="G505" s="171">
        <f t="shared" si="12"/>
        <v>99.994481912936848</v>
      </c>
    </row>
    <row r="506" spans="1:7">
      <c r="A506" s="868"/>
      <c r="B506" s="869"/>
      <c r="C506" s="151">
        <v>4440</v>
      </c>
      <c r="D506" s="127" t="s">
        <v>363</v>
      </c>
      <c r="E506" s="187">
        <v>3500</v>
      </c>
      <c r="F506" s="170">
        <v>3500</v>
      </c>
      <c r="G506" s="171">
        <f t="shared" si="12"/>
        <v>100</v>
      </c>
    </row>
    <row r="507" spans="1:7">
      <c r="A507" s="868"/>
      <c r="B507" s="165">
        <v>80195</v>
      </c>
      <c r="C507" s="165"/>
      <c r="D507" s="185" t="s">
        <v>88</v>
      </c>
      <c r="E507" s="182">
        <f>E508+E513+E517+E522+E526</f>
        <v>66781.679999999993</v>
      </c>
      <c r="F507" s="182">
        <f>F508+F513+F517+F522+F526</f>
        <v>10565.82</v>
      </c>
      <c r="G507" s="168">
        <f t="shared" si="12"/>
        <v>15.821434860578531</v>
      </c>
    </row>
    <row r="508" spans="1:7">
      <c r="A508" s="868"/>
      <c r="B508" s="748"/>
      <c r="C508" s="151"/>
      <c r="D508" s="177" t="s">
        <v>204</v>
      </c>
      <c r="E508" s="182">
        <f>SUM(E509:E512)</f>
        <v>2529.6800000000003</v>
      </c>
      <c r="F508" s="182">
        <f>SUM(F509:F512)</f>
        <v>2479.64</v>
      </c>
      <c r="G508" s="168">
        <f t="shared" si="12"/>
        <v>98.021884190885785</v>
      </c>
    </row>
    <row r="509" spans="1:7">
      <c r="A509" s="868"/>
      <c r="B509" s="749"/>
      <c r="C509" s="151">
        <v>4010</v>
      </c>
      <c r="D509" s="127" t="s">
        <v>167</v>
      </c>
      <c r="E509" s="187">
        <v>1992.68</v>
      </c>
      <c r="F509" s="170">
        <v>1992.34</v>
      </c>
      <c r="G509" s="171">
        <f t="shared" si="12"/>
        <v>99.982937551438255</v>
      </c>
    </row>
    <row r="510" spans="1:7">
      <c r="A510" s="868"/>
      <c r="B510" s="749"/>
      <c r="C510" s="151">
        <v>4110</v>
      </c>
      <c r="D510" s="127" t="s">
        <v>169</v>
      </c>
      <c r="E510" s="187">
        <v>317</v>
      </c>
      <c r="F510" s="170">
        <v>302.63</v>
      </c>
      <c r="G510" s="171">
        <f t="shared" si="12"/>
        <v>95.466876971608826</v>
      </c>
    </row>
    <row r="511" spans="1:7">
      <c r="A511" s="868"/>
      <c r="B511" s="749"/>
      <c r="C511" s="151">
        <v>4120</v>
      </c>
      <c r="D511" s="127" t="s">
        <v>191</v>
      </c>
      <c r="E511" s="187">
        <v>53</v>
      </c>
      <c r="F511" s="170">
        <v>18.52</v>
      </c>
      <c r="G511" s="171">
        <f t="shared" si="12"/>
        <v>34.943396226415096</v>
      </c>
    </row>
    <row r="512" spans="1:7">
      <c r="A512" s="868"/>
      <c r="B512" s="749"/>
      <c r="C512" s="461">
        <v>4170</v>
      </c>
      <c r="D512" s="169" t="s">
        <v>170</v>
      </c>
      <c r="E512" s="187">
        <v>167</v>
      </c>
      <c r="F512" s="170">
        <v>166.15</v>
      </c>
      <c r="G512" s="171">
        <f t="shared" si="12"/>
        <v>99.491017964071858</v>
      </c>
    </row>
    <row r="513" spans="1:7">
      <c r="A513" s="868"/>
      <c r="B513" s="749"/>
      <c r="C513" s="151"/>
      <c r="D513" s="177" t="s">
        <v>207</v>
      </c>
      <c r="E513" s="182">
        <f>SUM(E514:E516)</f>
        <v>2364</v>
      </c>
      <c r="F513" s="167">
        <f>SUM(F514:F516)</f>
        <v>2363.4</v>
      </c>
      <c r="G513" s="168">
        <f t="shared" si="12"/>
        <v>99.974619289340097</v>
      </c>
    </row>
    <row r="514" spans="1:7">
      <c r="A514" s="868"/>
      <c r="B514" s="749"/>
      <c r="C514" s="151">
        <v>4010</v>
      </c>
      <c r="D514" s="127" t="s">
        <v>167</v>
      </c>
      <c r="E514" s="187">
        <v>2005</v>
      </c>
      <c r="F514" s="170">
        <v>2004.4</v>
      </c>
      <c r="G514" s="171">
        <f t="shared" si="12"/>
        <v>99.970074812967582</v>
      </c>
    </row>
    <row r="515" spans="1:7">
      <c r="A515" s="868"/>
      <c r="B515" s="749"/>
      <c r="C515" s="151">
        <v>4110</v>
      </c>
      <c r="D515" s="127" t="s">
        <v>169</v>
      </c>
      <c r="E515" s="187">
        <v>310</v>
      </c>
      <c r="F515" s="170">
        <v>310</v>
      </c>
      <c r="G515" s="171">
        <f t="shared" si="12"/>
        <v>100</v>
      </c>
    </row>
    <row r="516" spans="1:7">
      <c r="A516" s="868"/>
      <c r="B516" s="749"/>
      <c r="C516" s="151">
        <v>4120</v>
      </c>
      <c r="D516" s="127" t="s">
        <v>191</v>
      </c>
      <c r="E516" s="187">
        <v>49</v>
      </c>
      <c r="F516" s="170">
        <v>49</v>
      </c>
      <c r="G516" s="171">
        <f t="shared" si="12"/>
        <v>100</v>
      </c>
    </row>
    <row r="517" spans="1:7">
      <c r="A517" s="868"/>
      <c r="B517" s="749"/>
      <c r="C517" s="151"/>
      <c r="D517" s="177" t="s">
        <v>206</v>
      </c>
      <c r="E517" s="182">
        <f>SUM(E518:E521)</f>
        <v>1514</v>
      </c>
      <c r="F517" s="182">
        <f>SUM(F518:F521)</f>
        <v>1466.94</v>
      </c>
      <c r="G517" s="168">
        <f t="shared" si="12"/>
        <v>96.891677675033023</v>
      </c>
    </row>
    <row r="518" spans="1:7">
      <c r="A518" s="868"/>
      <c r="B518" s="749"/>
      <c r="C518" s="151">
        <v>4010</v>
      </c>
      <c r="D518" s="127" t="s">
        <v>167</v>
      </c>
      <c r="E518" s="187">
        <v>1045</v>
      </c>
      <c r="F518" s="170">
        <v>1044.8800000000001</v>
      </c>
      <c r="G518" s="171">
        <f t="shared" si="12"/>
        <v>99.988516746411491</v>
      </c>
    </row>
    <row r="519" spans="1:7">
      <c r="A519" s="868"/>
      <c r="B519" s="749"/>
      <c r="C519" s="151">
        <v>4110</v>
      </c>
      <c r="D519" s="127" t="s">
        <v>169</v>
      </c>
      <c r="E519" s="187">
        <v>204</v>
      </c>
      <c r="F519" s="170">
        <v>157.78</v>
      </c>
      <c r="G519" s="171">
        <f t="shared" si="12"/>
        <v>77.343137254901961</v>
      </c>
    </row>
    <row r="520" spans="1:7">
      <c r="A520" s="868"/>
      <c r="B520" s="749"/>
      <c r="C520" s="151">
        <v>4120</v>
      </c>
      <c r="D520" s="127" t="s">
        <v>191</v>
      </c>
      <c r="E520" s="187">
        <v>26</v>
      </c>
      <c r="F520" s="170">
        <v>25.6</v>
      </c>
      <c r="G520" s="171">
        <f t="shared" si="12"/>
        <v>98.461538461538467</v>
      </c>
    </row>
    <row r="521" spans="1:7">
      <c r="A521" s="868"/>
      <c r="B521" s="749"/>
      <c r="C521" s="151">
        <v>4170</v>
      </c>
      <c r="D521" s="169" t="s">
        <v>170</v>
      </c>
      <c r="E521" s="187">
        <v>239</v>
      </c>
      <c r="F521" s="170">
        <v>238.68</v>
      </c>
      <c r="G521" s="171">
        <f t="shared" si="12"/>
        <v>99.86610878661088</v>
      </c>
    </row>
    <row r="522" spans="1:7">
      <c r="A522" s="868"/>
      <c r="B522" s="749"/>
      <c r="C522" s="151"/>
      <c r="D522" s="177" t="s">
        <v>205</v>
      </c>
      <c r="E522" s="182">
        <f>SUM(E523:E525)</f>
        <v>2600</v>
      </c>
      <c r="F522" s="182">
        <f>SUM(F523:F525)</f>
        <v>2597.8399999999997</v>
      </c>
      <c r="G522" s="168">
        <f t="shared" si="12"/>
        <v>99.916923076923069</v>
      </c>
    </row>
    <row r="523" spans="1:7">
      <c r="A523" s="868"/>
      <c r="B523" s="749"/>
      <c r="C523" s="151">
        <v>4010</v>
      </c>
      <c r="D523" s="127" t="s">
        <v>167</v>
      </c>
      <c r="E523" s="187">
        <v>2209</v>
      </c>
      <c r="F523" s="170">
        <v>2208.29</v>
      </c>
      <c r="G523" s="171">
        <f t="shared" si="12"/>
        <v>99.96785875961973</v>
      </c>
    </row>
    <row r="524" spans="1:7">
      <c r="A524" s="868"/>
      <c r="B524" s="749"/>
      <c r="C524" s="151">
        <v>4110</v>
      </c>
      <c r="D524" s="127" t="s">
        <v>169</v>
      </c>
      <c r="E524" s="187">
        <v>336</v>
      </c>
      <c r="F524" s="170">
        <v>335.45</v>
      </c>
      <c r="G524" s="171">
        <f t="shared" si="12"/>
        <v>99.836309523809518</v>
      </c>
    </row>
    <row r="525" spans="1:7">
      <c r="A525" s="868"/>
      <c r="B525" s="749"/>
      <c r="C525" s="151">
        <v>4120</v>
      </c>
      <c r="D525" s="127" t="s">
        <v>191</v>
      </c>
      <c r="E525" s="187">
        <v>55</v>
      </c>
      <c r="F525" s="170">
        <v>54.1</v>
      </c>
      <c r="G525" s="171">
        <f t="shared" si="12"/>
        <v>98.36363636363636</v>
      </c>
    </row>
    <row r="526" spans="1:7">
      <c r="A526" s="868"/>
      <c r="B526" s="749"/>
      <c r="C526" s="461"/>
      <c r="D526" s="184" t="s">
        <v>193</v>
      </c>
      <c r="E526" s="182">
        <f>E527+E528</f>
        <v>57774</v>
      </c>
      <c r="F526" s="182">
        <f>F527+F528</f>
        <v>1658</v>
      </c>
      <c r="G526" s="171">
        <f t="shared" si="12"/>
        <v>2.869803025582442</v>
      </c>
    </row>
    <row r="527" spans="1:7">
      <c r="A527" s="868"/>
      <c r="B527" s="749"/>
      <c r="C527" s="461">
        <v>4170</v>
      </c>
      <c r="D527" s="169" t="s">
        <v>170</v>
      </c>
      <c r="E527" s="187">
        <v>1658</v>
      </c>
      <c r="F527" s="170">
        <v>1658</v>
      </c>
      <c r="G527" s="171">
        <f t="shared" si="12"/>
        <v>100</v>
      </c>
    </row>
    <row r="528" spans="1:7">
      <c r="A528" s="869"/>
      <c r="B528" s="750"/>
      <c r="C528" s="461">
        <v>4810</v>
      </c>
      <c r="D528" s="216" t="s">
        <v>435</v>
      </c>
      <c r="E528" s="187">
        <v>56116</v>
      </c>
      <c r="F528" s="170">
        <v>0</v>
      </c>
      <c r="G528" s="171">
        <f t="shared" si="12"/>
        <v>0</v>
      </c>
    </row>
    <row r="529" spans="1:7">
      <c r="A529" s="161">
        <v>851</v>
      </c>
      <c r="B529" s="161"/>
      <c r="C529" s="161"/>
      <c r="D529" s="189" t="s">
        <v>91</v>
      </c>
      <c r="E529" s="206">
        <f>E530+E535+E540</f>
        <v>3987773</v>
      </c>
      <c r="F529" s="163">
        <f>F530+F535+F540</f>
        <v>3973858.4300000006</v>
      </c>
      <c r="G529" s="164">
        <f t="shared" ref="G529:G541" si="13">F529*100/E529</f>
        <v>99.651069155641522</v>
      </c>
    </row>
    <row r="530" spans="1:7">
      <c r="A530" s="867"/>
      <c r="B530" s="165">
        <v>85111</v>
      </c>
      <c r="C530" s="165"/>
      <c r="D530" s="185" t="s">
        <v>92</v>
      </c>
      <c r="E530" s="182">
        <f>SUM(E531:E534)</f>
        <v>1616000</v>
      </c>
      <c r="F530" s="167">
        <f>SUM(F531:F534)</f>
        <v>1606616.4800000002</v>
      </c>
      <c r="G530" s="168">
        <f t="shared" si="13"/>
        <v>99.419336633663391</v>
      </c>
    </row>
    <row r="531" spans="1:7" ht="48">
      <c r="A531" s="868"/>
      <c r="B531" s="867"/>
      <c r="C531" s="461">
        <v>2560</v>
      </c>
      <c r="D531" s="148" t="s">
        <v>556</v>
      </c>
      <c r="E531" s="187">
        <v>13808</v>
      </c>
      <c r="F531" s="170">
        <v>13807.67</v>
      </c>
      <c r="G531" s="171">
        <f t="shared" si="13"/>
        <v>99.997610081112398</v>
      </c>
    </row>
    <row r="532" spans="1:7" ht="36">
      <c r="A532" s="868"/>
      <c r="B532" s="868"/>
      <c r="C532" s="461">
        <v>2910</v>
      </c>
      <c r="D532" s="76" t="s">
        <v>376</v>
      </c>
      <c r="E532" s="187">
        <v>13042</v>
      </c>
      <c r="F532" s="170">
        <v>13041.1</v>
      </c>
      <c r="G532" s="171">
        <f t="shared" si="13"/>
        <v>99.993099217911364</v>
      </c>
    </row>
    <row r="533" spans="1:7">
      <c r="A533" s="868"/>
      <c r="B533" s="868"/>
      <c r="C533" s="190">
        <v>6050</v>
      </c>
      <c r="D533" s="191" t="s">
        <v>165</v>
      </c>
      <c r="E533" s="187">
        <v>1384150</v>
      </c>
      <c r="F533" s="170">
        <v>1374768.12</v>
      </c>
      <c r="G533" s="171">
        <f t="shared" si="13"/>
        <v>99.322191958963984</v>
      </c>
    </row>
    <row r="534" spans="1:7" ht="45">
      <c r="A534" s="868"/>
      <c r="B534" s="869"/>
      <c r="C534" s="190">
        <v>6220</v>
      </c>
      <c r="D534" s="173" t="s">
        <v>224</v>
      </c>
      <c r="E534" s="187">
        <v>205000</v>
      </c>
      <c r="F534" s="170">
        <v>204999.59</v>
      </c>
      <c r="G534" s="171">
        <f t="shared" si="13"/>
        <v>99.999799999999993</v>
      </c>
    </row>
    <row r="535" spans="1:7" ht="21.75">
      <c r="A535" s="868"/>
      <c r="B535" s="165">
        <v>85156</v>
      </c>
      <c r="C535" s="165"/>
      <c r="D535" s="192" t="s">
        <v>194</v>
      </c>
      <c r="E535" s="182">
        <f>SUM(E536:E539)</f>
        <v>2362000</v>
      </c>
      <c r="F535" s="182">
        <f>SUM(F536:F539)</f>
        <v>2358263</v>
      </c>
      <c r="G535" s="171">
        <f t="shared" si="13"/>
        <v>99.841786621507197</v>
      </c>
    </row>
    <row r="536" spans="1:7">
      <c r="A536" s="868"/>
      <c r="B536" s="873"/>
      <c r="C536" s="151">
        <v>4130</v>
      </c>
      <c r="D536" s="127" t="s">
        <v>377</v>
      </c>
      <c r="E536" s="187">
        <v>11000</v>
      </c>
      <c r="F536" s="170">
        <v>9639</v>
      </c>
      <c r="G536" s="171">
        <f t="shared" si="13"/>
        <v>87.627272727272725</v>
      </c>
    </row>
    <row r="537" spans="1:7">
      <c r="A537" s="868"/>
      <c r="B537" s="873"/>
      <c r="C537" s="461">
        <v>4130</v>
      </c>
      <c r="D537" s="127" t="s">
        <v>513</v>
      </c>
      <c r="E537" s="187">
        <v>1000</v>
      </c>
      <c r="F537" s="170">
        <v>943.2</v>
      </c>
      <c r="G537" s="171">
        <f t="shared" si="13"/>
        <v>94.32</v>
      </c>
    </row>
    <row r="538" spans="1:7">
      <c r="A538" s="868"/>
      <c r="B538" s="873"/>
      <c r="C538" s="151">
        <v>4130</v>
      </c>
      <c r="D538" s="127" t="s">
        <v>378</v>
      </c>
      <c r="E538" s="187">
        <v>2342000</v>
      </c>
      <c r="F538" s="170">
        <v>2342000</v>
      </c>
      <c r="G538" s="171">
        <f t="shared" si="13"/>
        <v>100</v>
      </c>
    </row>
    <row r="539" spans="1:7">
      <c r="A539" s="868"/>
      <c r="B539" s="873"/>
      <c r="C539" s="151">
        <v>4130</v>
      </c>
      <c r="D539" s="127" t="s">
        <v>379</v>
      </c>
      <c r="E539" s="187">
        <v>8000</v>
      </c>
      <c r="F539" s="170">
        <v>5680.8</v>
      </c>
      <c r="G539" s="171">
        <f t="shared" si="13"/>
        <v>71.010000000000005</v>
      </c>
    </row>
    <row r="540" spans="1:7">
      <c r="A540" s="868"/>
      <c r="B540" s="465">
        <v>85195</v>
      </c>
      <c r="C540" s="461"/>
      <c r="D540" s="185" t="s">
        <v>88</v>
      </c>
      <c r="E540" s="182">
        <f>E541</f>
        <v>9773</v>
      </c>
      <c r="F540" s="167">
        <f>F541</f>
        <v>8978.9500000000007</v>
      </c>
      <c r="G540" s="171">
        <f t="shared" si="13"/>
        <v>91.87506395170368</v>
      </c>
    </row>
    <row r="541" spans="1:7">
      <c r="A541" s="869"/>
      <c r="B541" s="465"/>
      <c r="C541" s="461">
        <v>4010</v>
      </c>
      <c r="D541" s="127" t="s">
        <v>167</v>
      </c>
      <c r="E541" s="187">
        <v>9773</v>
      </c>
      <c r="F541" s="170">
        <v>8978.9500000000007</v>
      </c>
      <c r="G541" s="171">
        <f t="shared" si="13"/>
        <v>91.87506395170368</v>
      </c>
    </row>
    <row r="542" spans="1:7">
      <c r="A542" s="161">
        <v>852</v>
      </c>
      <c r="B542" s="161"/>
      <c r="C542" s="161"/>
      <c r="D542" s="189" t="s">
        <v>94</v>
      </c>
      <c r="E542" s="206">
        <f>E543+E590+E593+E640+E648+E690+E674+E692</f>
        <v>9740094</v>
      </c>
      <c r="F542" s="206">
        <f>F543+F590+F593+F640+F648+F690+F674+F692</f>
        <v>9506634.4299999997</v>
      </c>
      <c r="G542" s="164">
        <f t="shared" ref="G542:G619" si="14">F542*100/E542</f>
        <v>97.603107629146081</v>
      </c>
    </row>
    <row r="543" spans="1:7">
      <c r="A543" s="748"/>
      <c r="B543" s="165">
        <v>85201</v>
      </c>
      <c r="C543" s="165"/>
      <c r="D543" s="185" t="s">
        <v>95</v>
      </c>
      <c r="E543" s="182">
        <f>E544+E569+E584+E586</f>
        <v>4047739</v>
      </c>
      <c r="F543" s="167">
        <f>F544+F569+F584+F586</f>
        <v>4017802</v>
      </c>
      <c r="G543" s="168">
        <f t="shared" si="14"/>
        <v>99.260401918206682</v>
      </c>
    </row>
    <row r="544" spans="1:7" ht="13.5" customHeight="1">
      <c r="A544" s="749"/>
      <c r="B544" s="867"/>
      <c r="C544" s="165"/>
      <c r="D544" s="193" t="s">
        <v>354</v>
      </c>
      <c r="E544" s="230">
        <f>SUM(E545:E568)</f>
        <v>1837935</v>
      </c>
      <c r="F544" s="230">
        <f>SUM(F545:F568)</f>
        <v>1837927</v>
      </c>
      <c r="G544" s="168">
        <f t="shared" si="14"/>
        <v>99.999564728894114</v>
      </c>
    </row>
    <row r="545" spans="1:7" ht="13.5" customHeight="1">
      <c r="A545" s="749"/>
      <c r="B545" s="868"/>
      <c r="C545" s="151">
        <v>3020</v>
      </c>
      <c r="D545" s="214" t="s">
        <v>166</v>
      </c>
      <c r="E545" s="187">
        <v>1032</v>
      </c>
      <c r="F545" s="170">
        <v>1031.7</v>
      </c>
      <c r="G545" s="171">
        <f t="shared" si="14"/>
        <v>99.970930232558146</v>
      </c>
    </row>
    <row r="546" spans="1:7">
      <c r="A546" s="749"/>
      <c r="B546" s="868"/>
      <c r="C546" s="151">
        <v>3110</v>
      </c>
      <c r="D546" s="127" t="s">
        <v>196</v>
      </c>
      <c r="E546" s="187">
        <v>11880</v>
      </c>
      <c r="F546" s="170">
        <v>11880</v>
      </c>
      <c r="G546" s="171">
        <f t="shared" si="14"/>
        <v>100</v>
      </c>
    </row>
    <row r="547" spans="1:7">
      <c r="A547" s="749"/>
      <c r="B547" s="868"/>
      <c r="C547" s="151">
        <v>4010</v>
      </c>
      <c r="D547" s="127" t="s">
        <v>167</v>
      </c>
      <c r="E547" s="187">
        <v>886379</v>
      </c>
      <c r="F547" s="170">
        <v>886378.1</v>
      </c>
      <c r="G547" s="171">
        <f t="shared" si="14"/>
        <v>99.999898463298436</v>
      </c>
    </row>
    <row r="548" spans="1:7">
      <c r="A548" s="749"/>
      <c r="B548" s="868"/>
      <c r="C548" s="151">
        <v>4040</v>
      </c>
      <c r="D548" s="127" t="s">
        <v>168</v>
      </c>
      <c r="E548" s="187">
        <v>61215</v>
      </c>
      <c r="F548" s="170">
        <v>61214.2</v>
      </c>
      <c r="G548" s="171">
        <f t="shared" si="14"/>
        <v>99.998693130768601</v>
      </c>
    </row>
    <row r="549" spans="1:7">
      <c r="A549" s="749"/>
      <c r="B549" s="868"/>
      <c r="C549" s="151">
        <v>4110</v>
      </c>
      <c r="D549" s="127" t="s">
        <v>169</v>
      </c>
      <c r="E549" s="187">
        <v>143820</v>
      </c>
      <c r="F549" s="170">
        <v>143819.87</v>
      </c>
      <c r="G549" s="171">
        <f t="shared" si="14"/>
        <v>99.999909609233768</v>
      </c>
    </row>
    <row r="550" spans="1:7">
      <c r="A550" s="749"/>
      <c r="B550" s="868"/>
      <c r="C550" s="151">
        <v>4120</v>
      </c>
      <c r="D550" s="127" t="s">
        <v>191</v>
      </c>
      <c r="E550" s="187">
        <v>22290</v>
      </c>
      <c r="F550" s="170">
        <v>22289.23</v>
      </c>
      <c r="G550" s="171">
        <f t="shared" si="14"/>
        <v>99.996545536114851</v>
      </c>
    </row>
    <row r="551" spans="1:7">
      <c r="A551" s="749"/>
      <c r="B551" s="868"/>
      <c r="C551" s="151">
        <v>4170</v>
      </c>
      <c r="D551" s="169" t="s">
        <v>170</v>
      </c>
      <c r="E551" s="187">
        <v>28723</v>
      </c>
      <c r="F551" s="170">
        <v>28722.48</v>
      </c>
      <c r="G551" s="171">
        <f t="shared" si="14"/>
        <v>99.998189604149985</v>
      </c>
    </row>
    <row r="552" spans="1:7">
      <c r="A552" s="749"/>
      <c r="B552" s="868"/>
      <c r="C552" s="151">
        <v>4210</v>
      </c>
      <c r="D552" s="127" t="s">
        <v>171</v>
      </c>
      <c r="E552" s="187">
        <v>79620</v>
      </c>
      <c r="F552" s="170">
        <v>79620</v>
      </c>
      <c r="G552" s="171">
        <f t="shared" si="14"/>
        <v>100</v>
      </c>
    </row>
    <row r="553" spans="1:7">
      <c r="A553" s="749"/>
      <c r="B553" s="868"/>
      <c r="C553" s="151">
        <v>4220</v>
      </c>
      <c r="D553" s="127" t="s">
        <v>197</v>
      </c>
      <c r="E553" s="187">
        <v>125000</v>
      </c>
      <c r="F553" s="170">
        <v>125000</v>
      </c>
      <c r="G553" s="171">
        <f t="shared" si="14"/>
        <v>100</v>
      </c>
    </row>
    <row r="554" spans="1:7">
      <c r="A554" s="749"/>
      <c r="B554" s="868"/>
      <c r="C554" s="151">
        <v>4240</v>
      </c>
      <c r="D554" s="127" t="s">
        <v>357</v>
      </c>
      <c r="E554" s="187">
        <v>9800</v>
      </c>
      <c r="F554" s="170">
        <v>9800</v>
      </c>
      <c r="G554" s="171">
        <f t="shared" si="14"/>
        <v>100</v>
      </c>
    </row>
    <row r="555" spans="1:7">
      <c r="A555" s="749"/>
      <c r="B555" s="868"/>
      <c r="C555" s="151">
        <v>4260</v>
      </c>
      <c r="D555" s="127" t="s">
        <v>172</v>
      </c>
      <c r="E555" s="187">
        <v>68800</v>
      </c>
      <c r="F555" s="170">
        <v>68800</v>
      </c>
      <c r="G555" s="171">
        <f t="shared" si="14"/>
        <v>100</v>
      </c>
    </row>
    <row r="556" spans="1:7">
      <c r="A556" s="749"/>
      <c r="B556" s="868"/>
      <c r="C556" s="151">
        <v>4270</v>
      </c>
      <c r="D556" s="127" t="s">
        <v>173</v>
      </c>
      <c r="E556" s="187">
        <v>267255</v>
      </c>
      <c r="F556" s="170">
        <v>267254.13</v>
      </c>
      <c r="G556" s="171">
        <f t="shared" si="14"/>
        <v>99.999674468204518</v>
      </c>
    </row>
    <row r="557" spans="1:7">
      <c r="A557" s="749"/>
      <c r="B557" s="868"/>
      <c r="C557" s="151">
        <v>4280</v>
      </c>
      <c r="D557" s="169" t="s">
        <v>174</v>
      </c>
      <c r="E557" s="187">
        <v>2474</v>
      </c>
      <c r="F557" s="170">
        <v>2474</v>
      </c>
      <c r="G557" s="171">
        <f t="shared" si="14"/>
        <v>100</v>
      </c>
    </row>
    <row r="558" spans="1:7">
      <c r="A558" s="749"/>
      <c r="B558" s="868"/>
      <c r="C558" s="151">
        <v>4300</v>
      </c>
      <c r="D558" s="127" t="s">
        <v>161</v>
      </c>
      <c r="E558" s="187">
        <v>51092</v>
      </c>
      <c r="F558" s="170">
        <v>51091.67</v>
      </c>
      <c r="G558" s="171">
        <f t="shared" si="14"/>
        <v>99.999354106318009</v>
      </c>
    </row>
    <row r="559" spans="1:7">
      <c r="A559" s="749"/>
      <c r="B559" s="868"/>
      <c r="C559" s="151">
        <v>4350</v>
      </c>
      <c r="D559" s="169" t="s">
        <v>198</v>
      </c>
      <c r="E559" s="187">
        <v>275</v>
      </c>
      <c r="F559" s="170">
        <v>274.04000000000002</v>
      </c>
      <c r="G559" s="171">
        <f t="shared" si="14"/>
        <v>99.65090909090911</v>
      </c>
    </row>
    <row r="560" spans="1:7" ht="22.5">
      <c r="A560" s="749"/>
      <c r="B560" s="868"/>
      <c r="C560" s="151">
        <v>4360</v>
      </c>
      <c r="D560" s="173" t="s">
        <v>361</v>
      </c>
      <c r="E560" s="187">
        <v>1683</v>
      </c>
      <c r="F560" s="170">
        <v>1683</v>
      </c>
      <c r="G560" s="171">
        <f t="shared" si="14"/>
        <v>100</v>
      </c>
    </row>
    <row r="561" spans="1:7" ht="22.5">
      <c r="A561" s="749"/>
      <c r="B561" s="868"/>
      <c r="C561" s="151">
        <v>4370</v>
      </c>
      <c r="D561" s="173" t="s">
        <v>362</v>
      </c>
      <c r="E561" s="187">
        <v>4720</v>
      </c>
      <c r="F561" s="170">
        <v>4720</v>
      </c>
      <c r="G561" s="171">
        <f t="shared" si="14"/>
        <v>100</v>
      </c>
    </row>
    <row r="562" spans="1:7">
      <c r="A562" s="749"/>
      <c r="B562" s="868"/>
      <c r="C562" s="151">
        <v>4410</v>
      </c>
      <c r="D562" s="127" t="s">
        <v>176</v>
      </c>
      <c r="E562" s="187">
        <v>3768</v>
      </c>
      <c r="F562" s="170">
        <v>3767.5</v>
      </c>
      <c r="G562" s="171">
        <f t="shared" si="14"/>
        <v>99.986730360934189</v>
      </c>
    </row>
    <row r="563" spans="1:7">
      <c r="A563" s="749"/>
      <c r="B563" s="868"/>
      <c r="C563" s="461">
        <v>4420</v>
      </c>
      <c r="D563" s="216" t="s">
        <v>183</v>
      </c>
      <c r="E563" s="187">
        <v>119</v>
      </c>
      <c r="F563" s="170">
        <v>118.84</v>
      </c>
      <c r="G563" s="171">
        <f t="shared" si="14"/>
        <v>99.865546218487395</v>
      </c>
    </row>
    <row r="564" spans="1:7">
      <c r="A564" s="749"/>
      <c r="B564" s="868"/>
      <c r="C564" s="151">
        <v>4430</v>
      </c>
      <c r="D564" s="127" t="s">
        <v>177</v>
      </c>
      <c r="E564" s="187">
        <v>806</v>
      </c>
      <c r="F564" s="170">
        <v>805.25</v>
      </c>
      <c r="G564" s="171">
        <f t="shared" si="14"/>
        <v>99.906947890818856</v>
      </c>
    </row>
    <row r="565" spans="1:7">
      <c r="A565" s="749"/>
      <c r="B565" s="868"/>
      <c r="C565" s="151">
        <v>4440</v>
      </c>
      <c r="D565" s="127" t="s">
        <v>363</v>
      </c>
      <c r="E565" s="187">
        <v>59605</v>
      </c>
      <c r="F565" s="170">
        <v>59605</v>
      </c>
      <c r="G565" s="171">
        <f t="shared" si="14"/>
        <v>100</v>
      </c>
    </row>
    <row r="566" spans="1:7" ht="22.5">
      <c r="A566" s="749"/>
      <c r="B566" s="868"/>
      <c r="C566" s="151">
        <v>4700</v>
      </c>
      <c r="D566" s="173" t="s">
        <v>365</v>
      </c>
      <c r="E566" s="187">
        <v>320</v>
      </c>
      <c r="F566" s="170">
        <v>320</v>
      </c>
      <c r="G566" s="171">
        <f t="shared" si="14"/>
        <v>100</v>
      </c>
    </row>
    <row r="567" spans="1:7" ht="22.5">
      <c r="A567" s="749"/>
      <c r="B567" s="868"/>
      <c r="C567" s="151">
        <v>4740</v>
      </c>
      <c r="D567" s="173" t="s">
        <v>366</v>
      </c>
      <c r="E567" s="187">
        <v>1880</v>
      </c>
      <c r="F567" s="170">
        <v>1879.99</v>
      </c>
      <c r="G567" s="171">
        <f t="shared" si="14"/>
        <v>99.999468085106386</v>
      </c>
    </row>
    <row r="568" spans="1:7" ht="22.5">
      <c r="A568" s="749"/>
      <c r="B568" s="868"/>
      <c r="C568" s="151">
        <v>4750</v>
      </c>
      <c r="D568" s="173" t="s">
        <v>367</v>
      </c>
      <c r="E568" s="187">
        <v>5379</v>
      </c>
      <c r="F568" s="170">
        <v>5378</v>
      </c>
      <c r="G568" s="171">
        <f t="shared" si="14"/>
        <v>99.981409183863178</v>
      </c>
    </row>
    <row r="569" spans="1:7">
      <c r="A569" s="749"/>
      <c r="B569" s="868"/>
      <c r="C569" s="176"/>
      <c r="D569" s="184" t="s">
        <v>353</v>
      </c>
      <c r="E569" s="230">
        <f>+SUM(E570:E583)</f>
        <v>136245</v>
      </c>
      <c r="F569" s="178">
        <f>+SUM(F570:F583)</f>
        <v>136239.52000000002</v>
      </c>
      <c r="G569" s="175">
        <f t="shared" si="14"/>
        <v>99.995977834048972</v>
      </c>
    </row>
    <row r="570" spans="1:7">
      <c r="A570" s="749"/>
      <c r="B570" s="868"/>
      <c r="C570" s="151">
        <v>3110</v>
      </c>
      <c r="D570" s="127" t="s">
        <v>196</v>
      </c>
      <c r="E570" s="187">
        <v>2400</v>
      </c>
      <c r="F570" s="170">
        <v>2400</v>
      </c>
      <c r="G570" s="171">
        <f t="shared" si="14"/>
        <v>100</v>
      </c>
    </row>
    <row r="571" spans="1:7">
      <c r="A571" s="749"/>
      <c r="B571" s="868"/>
      <c r="C571" s="151">
        <v>4010</v>
      </c>
      <c r="D571" s="127" t="s">
        <v>167</v>
      </c>
      <c r="E571" s="187">
        <v>39562</v>
      </c>
      <c r="F571" s="170">
        <v>39562</v>
      </c>
      <c r="G571" s="171">
        <f t="shared" si="14"/>
        <v>100</v>
      </c>
    </row>
    <row r="572" spans="1:7">
      <c r="A572" s="749"/>
      <c r="B572" s="868"/>
      <c r="C572" s="151">
        <v>4040</v>
      </c>
      <c r="D572" s="127" t="s">
        <v>168</v>
      </c>
      <c r="E572" s="187">
        <v>2758</v>
      </c>
      <c r="F572" s="170">
        <v>2757.84</v>
      </c>
      <c r="G572" s="171">
        <f t="shared" si="14"/>
        <v>99.994198694706313</v>
      </c>
    </row>
    <row r="573" spans="1:7">
      <c r="A573" s="749"/>
      <c r="B573" s="868"/>
      <c r="C573" s="151">
        <v>4110</v>
      </c>
      <c r="D573" s="127" t="s">
        <v>169</v>
      </c>
      <c r="E573" s="187">
        <v>6757</v>
      </c>
      <c r="F573" s="170">
        <v>6756.37</v>
      </c>
      <c r="G573" s="171">
        <f t="shared" si="14"/>
        <v>99.990676335651912</v>
      </c>
    </row>
    <row r="574" spans="1:7">
      <c r="A574" s="749"/>
      <c r="B574" s="868"/>
      <c r="C574" s="151">
        <v>4120</v>
      </c>
      <c r="D574" s="127" t="s">
        <v>191</v>
      </c>
      <c r="E574" s="187">
        <v>1037</v>
      </c>
      <c r="F574" s="170">
        <v>1036.8599999999999</v>
      </c>
      <c r="G574" s="171">
        <f t="shared" si="14"/>
        <v>99.986499517839903</v>
      </c>
    </row>
    <row r="575" spans="1:7">
      <c r="A575" s="749"/>
      <c r="B575" s="868"/>
      <c r="C575" s="151">
        <v>4210</v>
      </c>
      <c r="D575" s="127" t="s">
        <v>171</v>
      </c>
      <c r="E575" s="187">
        <v>18329</v>
      </c>
      <c r="F575" s="170">
        <v>18325.810000000001</v>
      </c>
      <c r="G575" s="171">
        <f t="shared" si="14"/>
        <v>99.982595886300416</v>
      </c>
    </row>
    <row r="576" spans="1:7">
      <c r="A576" s="749"/>
      <c r="B576" s="868"/>
      <c r="C576" s="151">
        <v>4220</v>
      </c>
      <c r="D576" s="127" t="s">
        <v>197</v>
      </c>
      <c r="E576" s="187">
        <v>35040</v>
      </c>
      <c r="F576" s="170">
        <v>35040</v>
      </c>
      <c r="G576" s="171">
        <f t="shared" si="14"/>
        <v>100</v>
      </c>
    </row>
    <row r="577" spans="1:7">
      <c r="A577" s="749"/>
      <c r="B577" s="868"/>
      <c r="C577" s="151">
        <v>4240</v>
      </c>
      <c r="D577" s="127" t="s">
        <v>357</v>
      </c>
      <c r="E577" s="187">
        <v>5088</v>
      </c>
      <c r="F577" s="170">
        <v>5088</v>
      </c>
      <c r="G577" s="171">
        <f t="shared" si="14"/>
        <v>100</v>
      </c>
    </row>
    <row r="578" spans="1:7">
      <c r="A578" s="749"/>
      <c r="B578" s="868"/>
      <c r="C578" s="151">
        <v>4280</v>
      </c>
      <c r="D578" s="169" t="s">
        <v>174</v>
      </c>
      <c r="E578" s="187">
        <v>2414</v>
      </c>
      <c r="F578" s="170">
        <v>2414</v>
      </c>
      <c r="G578" s="171">
        <f t="shared" si="14"/>
        <v>100</v>
      </c>
    </row>
    <row r="579" spans="1:7">
      <c r="A579" s="749"/>
      <c r="B579" s="868"/>
      <c r="C579" s="151">
        <v>4300</v>
      </c>
      <c r="D579" s="127" t="s">
        <v>161</v>
      </c>
      <c r="E579" s="187">
        <v>17365</v>
      </c>
      <c r="F579" s="170">
        <v>17365</v>
      </c>
      <c r="G579" s="171">
        <f t="shared" si="14"/>
        <v>100</v>
      </c>
    </row>
    <row r="580" spans="1:7" ht="22.5">
      <c r="A580" s="749"/>
      <c r="B580" s="868"/>
      <c r="C580" s="151">
        <v>4370</v>
      </c>
      <c r="D580" s="173" t="s">
        <v>362</v>
      </c>
      <c r="E580" s="187">
        <v>2760</v>
      </c>
      <c r="F580" s="170">
        <v>2760</v>
      </c>
      <c r="G580" s="171">
        <f t="shared" si="14"/>
        <v>100</v>
      </c>
    </row>
    <row r="581" spans="1:7">
      <c r="A581" s="749"/>
      <c r="B581" s="868"/>
      <c r="C581" s="151">
        <v>4410</v>
      </c>
      <c r="D581" s="127" t="s">
        <v>176</v>
      </c>
      <c r="E581" s="187">
        <v>1087</v>
      </c>
      <c r="F581" s="170">
        <v>1086.5999999999999</v>
      </c>
      <c r="G581" s="171">
        <f t="shared" si="14"/>
        <v>99.963201471941105</v>
      </c>
    </row>
    <row r="582" spans="1:7">
      <c r="A582" s="749"/>
      <c r="B582" s="868"/>
      <c r="C582" s="151">
        <v>4440</v>
      </c>
      <c r="D582" s="127" t="s">
        <v>363</v>
      </c>
      <c r="E582" s="187">
        <v>1085</v>
      </c>
      <c r="F582" s="170">
        <v>1084.04</v>
      </c>
      <c r="G582" s="171">
        <f t="shared" si="14"/>
        <v>99.911520737327194</v>
      </c>
    </row>
    <row r="583" spans="1:7" ht="22.5">
      <c r="A583" s="749"/>
      <c r="B583" s="868"/>
      <c r="C583" s="151">
        <v>4750</v>
      </c>
      <c r="D583" s="173" t="s">
        <v>367</v>
      </c>
      <c r="E583" s="187">
        <v>563</v>
      </c>
      <c r="F583" s="170">
        <v>563</v>
      </c>
      <c r="G583" s="171">
        <f t="shared" si="14"/>
        <v>100</v>
      </c>
    </row>
    <row r="584" spans="1:7">
      <c r="A584" s="749"/>
      <c r="B584" s="868"/>
      <c r="C584" s="151"/>
      <c r="D584" s="184" t="s">
        <v>360</v>
      </c>
      <c r="E584" s="182">
        <f>E585</f>
        <v>179853</v>
      </c>
      <c r="F584" s="167">
        <f>F585</f>
        <v>165411.56</v>
      </c>
      <c r="G584" s="168">
        <f t="shared" si="14"/>
        <v>91.970420287679389</v>
      </c>
    </row>
    <row r="585" spans="1:7">
      <c r="A585" s="749"/>
      <c r="B585" s="868"/>
      <c r="C585" s="151">
        <v>3110</v>
      </c>
      <c r="D585" s="127" t="s">
        <v>196</v>
      </c>
      <c r="E585" s="187">
        <v>179853</v>
      </c>
      <c r="F585" s="170">
        <v>165411.56</v>
      </c>
      <c r="G585" s="171">
        <f t="shared" si="14"/>
        <v>91.970420287679389</v>
      </c>
    </row>
    <row r="586" spans="1:7">
      <c r="A586" s="749"/>
      <c r="B586" s="868"/>
      <c r="C586" s="165"/>
      <c r="D586" s="184" t="s">
        <v>193</v>
      </c>
      <c r="E586" s="182">
        <f>SUM(E587:E589)</f>
        <v>1893706</v>
      </c>
      <c r="F586" s="167">
        <f>SUM(F587:F589)</f>
        <v>1878223.92</v>
      </c>
      <c r="G586" s="168">
        <f t="shared" si="14"/>
        <v>99.182445427114871</v>
      </c>
    </row>
    <row r="587" spans="1:7" ht="24" customHeight="1">
      <c r="A587" s="749"/>
      <c r="B587" s="868"/>
      <c r="C587" s="151">
        <v>2320</v>
      </c>
      <c r="D587" s="186" t="s">
        <v>199</v>
      </c>
      <c r="E587" s="187">
        <v>80915</v>
      </c>
      <c r="F587" s="170">
        <v>65433.51</v>
      </c>
      <c r="G587" s="171">
        <f t="shared" si="14"/>
        <v>80.866971513316443</v>
      </c>
    </row>
    <row r="588" spans="1:7" ht="33.75">
      <c r="A588" s="749"/>
      <c r="B588" s="868"/>
      <c r="C588" s="151">
        <v>2820</v>
      </c>
      <c r="D588" s="186" t="s">
        <v>195</v>
      </c>
      <c r="E588" s="187">
        <v>1812694</v>
      </c>
      <c r="F588" s="170">
        <v>1812693.41</v>
      </c>
      <c r="G588" s="171">
        <f t="shared" si="14"/>
        <v>99.999967451759645</v>
      </c>
    </row>
    <row r="589" spans="1:7" ht="36">
      <c r="A589" s="749"/>
      <c r="B589" s="868"/>
      <c r="C589" s="151">
        <v>2910</v>
      </c>
      <c r="D589" s="76" t="s">
        <v>376</v>
      </c>
      <c r="E589" s="187">
        <v>97</v>
      </c>
      <c r="F589" s="170">
        <v>97</v>
      </c>
      <c r="G589" s="171">
        <f t="shared" si="14"/>
        <v>100</v>
      </c>
    </row>
    <row r="590" spans="1:7">
      <c r="A590" s="749"/>
      <c r="B590" s="165">
        <v>85202</v>
      </c>
      <c r="C590" s="165"/>
      <c r="D590" s="185" t="s">
        <v>97</v>
      </c>
      <c r="E590" s="182">
        <f>E591+E592</f>
        <v>2414291</v>
      </c>
      <c r="F590" s="167">
        <f>F591+F592</f>
        <v>2414290.38</v>
      </c>
      <c r="G590" s="168">
        <f t="shared" si="14"/>
        <v>99.999974319582847</v>
      </c>
    </row>
    <row r="591" spans="1:7" ht="33.75">
      <c r="A591" s="749"/>
      <c r="B591" s="744"/>
      <c r="C591" s="151">
        <v>2820</v>
      </c>
      <c r="D591" s="186" t="s">
        <v>195</v>
      </c>
      <c r="E591" s="187">
        <v>2053507</v>
      </c>
      <c r="F591" s="170">
        <v>2053507</v>
      </c>
      <c r="G591" s="171">
        <f t="shared" si="14"/>
        <v>100</v>
      </c>
    </row>
    <row r="592" spans="1:7">
      <c r="A592" s="749"/>
      <c r="B592" s="744"/>
      <c r="C592" s="151">
        <v>6050</v>
      </c>
      <c r="D592" s="216" t="s">
        <v>165</v>
      </c>
      <c r="E592" s="187">
        <v>360784</v>
      </c>
      <c r="F592" s="170">
        <v>360783.38</v>
      </c>
      <c r="G592" s="171">
        <f t="shared" si="14"/>
        <v>99.999828152024477</v>
      </c>
    </row>
    <row r="593" spans="1:7">
      <c r="A593" s="749"/>
      <c r="B593" s="165">
        <v>85203</v>
      </c>
      <c r="C593" s="165"/>
      <c r="D593" s="192" t="s">
        <v>98</v>
      </c>
      <c r="E593" s="182">
        <f>E594+E616</f>
        <v>713526</v>
      </c>
      <c r="F593" s="167">
        <f>F594+F616</f>
        <v>713435.19000000006</v>
      </c>
      <c r="G593" s="175">
        <f t="shared" si="14"/>
        <v>99.987273063630482</v>
      </c>
    </row>
    <row r="594" spans="1:7" ht="15.75" customHeight="1">
      <c r="A594" s="749"/>
      <c r="B594" s="873"/>
      <c r="C594" s="165"/>
      <c r="D594" s="194" t="s">
        <v>358</v>
      </c>
      <c r="E594" s="182">
        <f>SUM(E595:E615)</f>
        <v>325500</v>
      </c>
      <c r="F594" s="167">
        <f>SUM(F595:F615)</f>
        <v>325494.73000000004</v>
      </c>
      <c r="G594" s="175">
        <f t="shared" si="14"/>
        <v>99.99838095238097</v>
      </c>
    </row>
    <row r="595" spans="1:7" ht="15" customHeight="1">
      <c r="A595" s="749"/>
      <c r="B595" s="873"/>
      <c r="C595" s="151">
        <v>4010</v>
      </c>
      <c r="D595" s="127" t="s">
        <v>167</v>
      </c>
      <c r="E595" s="187">
        <v>142204</v>
      </c>
      <c r="F595" s="170">
        <v>142203.79</v>
      </c>
      <c r="G595" s="171">
        <f t="shared" si="14"/>
        <v>99.999852324829121</v>
      </c>
    </row>
    <row r="596" spans="1:7" ht="15" customHeight="1">
      <c r="A596" s="749"/>
      <c r="B596" s="873"/>
      <c r="C596" s="151">
        <v>4040</v>
      </c>
      <c r="D596" s="127" t="s">
        <v>168</v>
      </c>
      <c r="E596" s="187">
        <v>9809</v>
      </c>
      <c r="F596" s="170">
        <v>9808.73</v>
      </c>
      <c r="G596" s="171">
        <f t="shared" si="14"/>
        <v>99.997247425833422</v>
      </c>
    </row>
    <row r="597" spans="1:7" ht="15" customHeight="1">
      <c r="A597" s="749"/>
      <c r="B597" s="873"/>
      <c r="C597" s="151">
        <v>4110</v>
      </c>
      <c r="D597" s="127" t="s">
        <v>169</v>
      </c>
      <c r="E597" s="187">
        <v>23947</v>
      </c>
      <c r="F597" s="170">
        <v>23946.22</v>
      </c>
      <c r="G597" s="171">
        <f t="shared" si="14"/>
        <v>99.996742807032192</v>
      </c>
    </row>
    <row r="598" spans="1:7" ht="15" customHeight="1">
      <c r="A598" s="749"/>
      <c r="B598" s="873"/>
      <c r="C598" s="151">
        <v>4120</v>
      </c>
      <c r="D598" s="127" t="s">
        <v>191</v>
      </c>
      <c r="E598" s="187">
        <v>3734</v>
      </c>
      <c r="F598" s="170">
        <v>3733.76</v>
      </c>
      <c r="G598" s="171">
        <f t="shared" si="14"/>
        <v>99.993572576325661</v>
      </c>
    </row>
    <row r="599" spans="1:7" ht="15" customHeight="1">
      <c r="A599" s="749"/>
      <c r="B599" s="873"/>
      <c r="C599" s="151">
        <v>4170</v>
      </c>
      <c r="D599" s="169" t="s">
        <v>170</v>
      </c>
      <c r="E599" s="187">
        <v>25717</v>
      </c>
      <c r="F599" s="170">
        <v>25717</v>
      </c>
      <c r="G599" s="171">
        <f t="shared" si="14"/>
        <v>100</v>
      </c>
    </row>
    <row r="600" spans="1:7" ht="15" customHeight="1">
      <c r="A600" s="749"/>
      <c r="B600" s="873"/>
      <c r="C600" s="151">
        <v>4210</v>
      </c>
      <c r="D600" s="127" t="s">
        <v>171</v>
      </c>
      <c r="E600" s="187">
        <v>38382</v>
      </c>
      <c r="F600" s="170">
        <v>38381.96</v>
      </c>
      <c r="G600" s="171">
        <f t="shared" si="14"/>
        <v>99.999895784482305</v>
      </c>
    </row>
    <row r="601" spans="1:7" ht="15" customHeight="1">
      <c r="A601" s="749"/>
      <c r="B601" s="873"/>
      <c r="C601" s="151">
        <v>4220</v>
      </c>
      <c r="D601" s="127" t="s">
        <v>197</v>
      </c>
      <c r="E601" s="187">
        <v>16572</v>
      </c>
      <c r="F601" s="170">
        <v>16572</v>
      </c>
      <c r="G601" s="171">
        <f t="shared" si="14"/>
        <v>100</v>
      </c>
    </row>
    <row r="602" spans="1:7">
      <c r="A602" s="749"/>
      <c r="B602" s="873"/>
      <c r="C602" s="151">
        <v>4240</v>
      </c>
      <c r="D602" s="127" t="s">
        <v>357</v>
      </c>
      <c r="E602" s="187">
        <v>1527</v>
      </c>
      <c r="F602" s="170">
        <v>1526.36</v>
      </c>
      <c r="G602" s="171">
        <f t="shared" si="14"/>
        <v>99.958087753765554</v>
      </c>
    </row>
    <row r="603" spans="1:7">
      <c r="A603" s="749"/>
      <c r="B603" s="873"/>
      <c r="C603" s="151">
        <v>4260</v>
      </c>
      <c r="D603" s="127" t="s">
        <v>172</v>
      </c>
      <c r="E603" s="187">
        <v>18000</v>
      </c>
      <c r="F603" s="170">
        <v>18000</v>
      </c>
      <c r="G603" s="171">
        <f t="shared" si="14"/>
        <v>100</v>
      </c>
    </row>
    <row r="604" spans="1:7">
      <c r="A604" s="749"/>
      <c r="B604" s="873"/>
      <c r="C604" s="151">
        <v>4270</v>
      </c>
      <c r="D604" s="127" t="s">
        <v>173</v>
      </c>
      <c r="E604" s="187">
        <v>205</v>
      </c>
      <c r="F604" s="170">
        <v>204.96</v>
      </c>
      <c r="G604" s="171">
        <f t="shared" si="14"/>
        <v>99.980487804878052</v>
      </c>
    </row>
    <row r="605" spans="1:7">
      <c r="A605" s="749"/>
      <c r="B605" s="873"/>
      <c r="C605" s="151">
        <v>4280</v>
      </c>
      <c r="D605" s="169" t="s">
        <v>174</v>
      </c>
      <c r="E605" s="187">
        <v>25</v>
      </c>
      <c r="F605" s="170">
        <v>25</v>
      </c>
      <c r="G605" s="171">
        <f t="shared" si="14"/>
        <v>100</v>
      </c>
    </row>
    <row r="606" spans="1:7">
      <c r="A606" s="749"/>
      <c r="B606" s="873"/>
      <c r="C606" s="151">
        <v>4300</v>
      </c>
      <c r="D606" s="127" t="s">
        <v>161</v>
      </c>
      <c r="E606" s="187">
        <v>29716</v>
      </c>
      <c r="F606" s="170">
        <v>29715.25</v>
      </c>
      <c r="G606" s="171">
        <f t="shared" si="14"/>
        <v>99.997476107147662</v>
      </c>
    </row>
    <row r="607" spans="1:7">
      <c r="A607" s="749"/>
      <c r="B607" s="873"/>
      <c r="C607" s="461">
        <v>4350</v>
      </c>
      <c r="D607" s="216" t="s">
        <v>175</v>
      </c>
      <c r="E607" s="187">
        <v>225</v>
      </c>
      <c r="F607" s="170">
        <v>224.04</v>
      </c>
      <c r="G607" s="171">
        <f t="shared" si="14"/>
        <v>99.573333333333338</v>
      </c>
    </row>
    <row r="608" spans="1:7" ht="22.5">
      <c r="A608" s="749"/>
      <c r="B608" s="873"/>
      <c r="C608" s="151">
        <v>4360</v>
      </c>
      <c r="D608" s="173" t="s">
        <v>361</v>
      </c>
      <c r="E608" s="187">
        <v>1413</v>
      </c>
      <c r="F608" s="170">
        <v>1413</v>
      </c>
      <c r="G608" s="171">
        <f t="shared" si="14"/>
        <v>100</v>
      </c>
    </row>
    <row r="609" spans="1:7" ht="22.5">
      <c r="A609" s="749"/>
      <c r="B609" s="873"/>
      <c r="C609" s="151">
        <v>4370</v>
      </c>
      <c r="D609" s="173" t="s">
        <v>362</v>
      </c>
      <c r="E609" s="187">
        <v>616</v>
      </c>
      <c r="F609" s="170">
        <v>615.83000000000004</v>
      </c>
      <c r="G609" s="171">
        <f t="shared" si="14"/>
        <v>99.972402597402606</v>
      </c>
    </row>
    <row r="610" spans="1:7">
      <c r="A610" s="749"/>
      <c r="B610" s="873"/>
      <c r="C610" s="151">
        <v>4410</v>
      </c>
      <c r="D610" s="127" t="s">
        <v>176</v>
      </c>
      <c r="E610" s="187">
        <v>4758</v>
      </c>
      <c r="F610" s="170">
        <v>4757.59</v>
      </c>
      <c r="G610" s="171">
        <f t="shared" si="14"/>
        <v>99.991382934005884</v>
      </c>
    </row>
    <row r="611" spans="1:7">
      <c r="A611" s="749"/>
      <c r="B611" s="873"/>
      <c r="C611" s="151">
        <v>4430</v>
      </c>
      <c r="D611" s="127" t="s">
        <v>177</v>
      </c>
      <c r="E611" s="187">
        <v>101</v>
      </c>
      <c r="F611" s="170">
        <v>100.24</v>
      </c>
      <c r="G611" s="171">
        <f t="shared" si="14"/>
        <v>99.247524752475243</v>
      </c>
    </row>
    <row r="612" spans="1:7">
      <c r="A612" s="749"/>
      <c r="B612" s="873"/>
      <c r="C612" s="151">
        <v>4440</v>
      </c>
      <c r="D612" s="127" t="s">
        <v>363</v>
      </c>
      <c r="E612" s="187">
        <v>5646</v>
      </c>
      <c r="F612" s="170">
        <v>5646</v>
      </c>
      <c r="G612" s="171">
        <f t="shared" si="14"/>
        <v>100</v>
      </c>
    </row>
    <row r="613" spans="1:7" ht="22.5">
      <c r="A613" s="749"/>
      <c r="B613" s="873"/>
      <c r="C613" s="151">
        <v>4700</v>
      </c>
      <c r="D613" s="173" t="s">
        <v>365</v>
      </c>
      <c r="E613" s="187">
        <v>600</v>
      </c>
      <c r="F613" s="170">
        <v>600</v>
      </c>
      <c r="G613" s="171">
        <f t="shared" si="14"/>
        <v>100</v>
      </c>
    </row>
    <row r="614" spans="1:7" ht="22.5">
      <c r="A614" s="749"/>
      <c r="B614" s="873"/>
      <c r="C614" s="151">
        <v>4740</v>
      </c>
      <c r="D614" s="173" t="s">
        <v>366</v>
      </c>
      <c r="E614" s="187">
        <v>303</v>
      </c>
      <c r="F614" s="170">
        <v>303</v>
      </c>
      <c r="G614" s="171">
        <f t="shared" si="14"/>
        <v>100</v>
      </c>
    </row>
    <row r="615" spans="1:7" ht="22.5">
      <c r="A615" s="749"/>
      <c r="B615" s="873"/>
      <c r="C615" s="151">
        <v>4750</v>
      </c>
      <c r="D615" s="173" t="s">
        <v>367</v>
      </c>
      <c r="E615" s="187">
        <v>2000</v>
      </c>
      <c r="F615" s="170">
        <v>2000</v>
      </c>
      <c r="G615" s="171">
        <f t="shared" si="14"/>
        <v>100</v>
      </c>
    </row>
    <row r="616" spans="1:7" ht="22.5">
      <c r="A616" s="749"/>
      <c r="B616" s="873"/>
      <c r="C616" s="151"/>
      <c r="D616" s="193" t="s">
        <v>387</v>
      </c>
      <c r="E616" s="182">
        <f>SUM(E617:E639)</f>
        <v>388026</v>
      </c>
      <c r="F616" s="167">
        <f>SUM(F617:F639)</f>
        <v>387940.46</v>
      </c>
      <c r="G616" s="168">
        <f t="shared" si="14"/>
        <v>99.977955085483956</v>
      </c>
    </row>
    <row r="617" spans="1:7">
      <c r="A617" s="749"/>
      <c r="B617" s="873"/>
      <c r="C617" s="461">
        <v>3020</v>
      </c>
      <c r="D617" s="214" t="s">
        <v>166</v>
      </c>
      <c r="E617" s="187">
        <v>383</v>
      </c>
      <c r="F617" s="170">
        <v>382.62</v>
      </c>
      <c r="G617" s="171"/>
    </row>
    <row r="618" spans="1:7">
      <c r="A618" s="749"/>
      <c r="B618" s="873"/>
      <c r="C618" s="151">
        <v>4010</v>
      </c>
      <c r="D618" s="127" t="s">
        <v>167</v>
      </c>
      <c r="E618" s="187">
        <v>226375</v>
      </c>
      <c r="F618" s="170">
        <v>226342.68</v>
      </c>
      <c r="G618" s="171">
        <f t="shared" si="14"/>
        <v>99.985722805080073</v>
      </c>
    </row>
    <row r="619" spans="1:7">
      <c r="A619" s="749"/>
      <c r="B619" s="873"/>
      <c r="C619" s="151">
        <v>4040</v>
      </c>
      <c r="D619" s="127" t="s">
        <v>168</v>
      </c>
      <c r="E619" s="187">
        <v>15980</v>
      </c>
      <c r="F619" s="170">
        <v>15979.77</v>
      </c>
      <c r="G619" s="171">
        <f t="shared" si="14"/>
        <v>99.998560700876098</v>
      </c>
    </row>
    <row r="620" spans="1:7">
      <c r="A620" s="749"/>
      <c r="B620" s="873"/>
      <c r="C620" s="151">
        <v>4110</v>
      </c>
      <c r="D620" s="127" t="s">
        <v>169</v>
      </c>
      <c r="E620" s="187">
        <v>37118</v>
      </c>
      <c r="F620" s="170">
        <v>37089.93</v>
      </c>
      <c r="G620" s="171">
        <f t="shared" ref="G620:G714" si="15">F620*100/E620</f>
        <v>99.924376313378957</v>
      </c>
    </row>
    <row r="621" spans="1:7">
      <c r="A621" s="749"/>
      <c r="B621" s="873"/>
      <c r="C621" s="151">
        <v>4120</v>
      </c>
      <c r="D621" s="127" t="s">
        <v>191</v>
      </c>
      <c r="E621" s="187">
        <v>5802</v>
      </c>
      <c r="F621" s="170">
        <v>5788.76</v>
      </c>
      <c r="G621" s="171">
        <f t="shared" si="15"/>
        <v>99.77180282661152</v>
      </c>
    </row>
    <row r="622" spans="1:7">
      <c r="A622" s="749"/>
      <c r="B622" s="873"/>
      <c r="C622" s="151">
        <v>4170</v>
      </c>
      <c r="D622" s="169" t="s">
        <v>170</v>
      </c>
      <c r="E622" s="187">
        <v>3150</v>
      </c>
      <c r="F622" s="170">
        <v>3150</v>
      </c>
      <c r="G622" s="171">
        <f t="shared" si="15"/>
        <v>100</v>
      </c>
    </row>
    <row r="623" spans="1:7">
      <c r="A623" s="749"/>
      <c r="B623" s="873"/>
      <c r="C623" s="151">
        <v>4210</v>
      </c>
      <c r="D623" s="127" t="s">
        <v>171</v>
      </c>
      <c r="E623" s="187">
        <v>29827</v>
      </c>
      <c r="F623" s="170">
        <v>29827</v>
      </c>
      <c r="G623" s="171">
        <f t="shared" si="15"/>
        <v>100</v>
      </c>
    </row>
    <row r="624" spans="1:7">
      <c r="A624" s="749"/>
      <c r="B624" s="873"/>
      <c r="C624" s="151">
        <v>4220</v>
      </c>
      <c r="D624" s="127" t="s">
        <v>197</v>
      </c>
      <c r="E624" s="187">
        <v>12900</v>
      </c>
      <c r="F624" s="170">
        <v>12900</v>
      </c>
      <c r="G624" s="171">
        <f t="shared" si="15"/>
        <v>100</v>
      </c>
    </row>
    <row r="625" spans="1:7">
      <c r="A625" s="749"/>
      <c r="B625" s="873"/>
      <c r="C625" s="151">
        <v>4260</v>
      </c>
      <c r="D625" s="127" t="s">
        <v>172</v>
      </c>
      <c r="E625" s="187">
        <v>8416</v>
      </c>
      <c r="F625" s="170">
        <v>8415.4699999999993</v>
      </c>
      <c r="G625" s="171">
        <f t="shared" si="15"/>
        <v>99.993702471482877</v>
      </c>
    </row>
    <row r="626" spans="1:7">
      <c r="A626" s="749"/>
      <c r="B626" s="873"/>
      <c r="C626" s="151">
        <v>4270</v>
      </c>
      <c r="D626" s="127" t="s">
        <v>173</v>
      </c>
      <c r="E626" s="187">
        <v>3343</v>
      </c>
      <c r="F626" s="170">
        <v>3342.4</v>
      </c>
      <c r="G626" s="171">
        <f t="shared" si="15"/>
        <v>99.982052049057728</v>
      </c>
    </row>
    <row r="627" spans="1:7">
      <c r="A627" s="749"/>
      <c r="B627" s="873"/>
      <c r="C627" s="151">
        <v>4280</v>
      </c>
      <c r="D627" s="169" t="s">
        <v>174</v>
      </c>
      <c r="E627" s="187">
        <v>320</v>
      </c>
      <c r="F627" s="170">
        <v>320</v>
      </c>
      <c r="G627" s="171">
        <f t="shared" si="15"/>
        <v>100</v>
      </c>
    </row>
    <row r="628" spans="1:7">
      <c r="A628" s="749"/>
      <c r="B628" s="873"/>
      <c r="C628" s="151">
        <v>4300</v>
      </c>
      <c r="D628" s="127" t="s">
        <v>161</v>
      </c>
      <c r="E628" s="187">
        <v>22928</v>
      </c>
      <c r="F628" s="170">
        <v>22927.61</v>
      </c>
      <c r="G628" s="171">
        <f t="shared" si="15"/>
        <v>99.998299023028608</v>
      </c>
    </row>
    <row r="629" spans="1:7">
      <c r="A629" s="749"/>
      <c r="B629" s="873"/>
      <c r="C629" s="151">
        <v>4350</v>
      </c>
      <c r="D629" s="169" t="s">
        <v>198</v>
      </c>
      <c r="E629" s="187">
        <v>1230</v>
      </c>
      <c r="F629" s="170">
        <v>1229.76</v>
      </c>
      <c r="G629" s="171">
        <f t="shared" si="15"/>
        <v>99.980487804878052</v>
      </c>
    </row>
    <row r="630" spans="1:7" ht="22.5">
      <c r="A630" s="749"/>
      <c r="B630" s="873"/>
      <c r="C630" s="151">
        <v>4360</v>
      </c>
      <c r="D630" s="173" t="s">
        <v>361</v>
      </c>
      <c r="E630" s="187">
        <v>1611</v>
      </c>
      <c r="F630" s="170">
        <v>1610.17</v>
      </c>
      <c r="G630" s="171">
        <f t="shared" si="15"/>
        <v>99.948479205462448</v>
      </c>
    </row>
    <row r="631" spans="1:7" ht="22.5">
      <c r="A631" s="749"/>
      <c r="B631" s="873"/>
      <c r="C631" s="151">
        <v>4370</v>
      </c>
      <c r="D631" s="173" t="s">
        <v>362</v>
      </c>
      <c r="E631" s="187">
        <v>2591</v>
      </c>
      <c r="F631" s="170">
        <v>2590.14</v>
      </c>
      <c r="G631" s="171">
        <f t="shared" si="15"/>
        <v>99.966808182169046</v>
      </c>
    </row>
    <row r="632" spans="1:7">
      <c r="A632" s="749"/>
      <c r="B632" s="873"/>
      <c r="C632" s="151">
        <v>4410</v>
      </c>
      <c r="D632" s="127" t="s">
        <v>176</v>
      </c>
      <c r="E632" s="187">
        <v>1000</v>
      </c>
      <c r="F632" s="170">
        <v>999.84</v>
      </c>
      <c r="G632" s="171">
        <f t="shared" si="15"/>
        <v>99.983999999999995</v>
      </c>
    </row>
    <row r="633" spans="1:7">
      <c r="A633" s="749"/>
      <c r="B633" s="873"/>
      <c r="C633" s="151">
        <v>4430</v>
      </c>
      <c r="D633" s="127" t="s">
        <v>177</v>
      </c>
      <c r="E633" s="187">
        <v>396</v>
      </c>
      <c r="F633" s="170">
        <v>395.85</v>
      </c>
      <c r="G633" s="171">
        <f t="shared" si="15"/>
        <v>99.962121212121218</v>
      </c>
    </row>
    <row r="634" spans="1:7">
      <c r="A634" s="749"/>
      <c r="B634" s="873"/>
      <c r="C634" s="151">
        <v>4440</v>
      </c>
      <c r="D634" s="127" t="s">
        <v>363</v>
      </c>
      <c r="E634" s="187">
        <v>9001</v>
      </c>
      <c r="F634" s="170">
        <v>9001</v>
      </c>
      <c r="G634" s="171">
        <f t="shared" si="15"/>
        <v>100</v>
      </c>
    </row>
    <row r="635" spans="1:7">
      <c r="A635" s="749"/>
      <c r="B635" s="873"/>
      <c r="C635" s="151">
        <v>4480</v>
      </c>
      <c r="D635" s="127" t="s">
        <v>178</v>
      </c>
      <c r="E635" s="187">
        <v>3473</v>
      </c>
      <c r="F635" s="170">
        <v>3473</v>
      </c>
      <c r="G635" s="171">
        <f t="shared" si="15"/>
        <v>100</v>
      </c>
    </row>
    <row r="636" spans="1:7">
      <c r="A636" s="749"/>
      <c r="B636" s="873"/>
      <c r="C636" s="151">
        <v>4520</v>
      </c>
      <c r="D636" s="127" t="s">
        <v>179</v>
      </c>
      <c r="E636" s="187">
        <v>634</v>
      </c>
      <c r="F636" s="170">
        <v>633.55999999999995</v>
      </c>
      <c r="G636" s="171">
        <f t="shared" si="15"/>
        <v>99.930599369085158</v>
      </c>
    </row>
    <row r="637" spans="1:7" ht="24">
      <c r="A637" s="749"/>
      <c r="B637" s="873"/>
      <c r="C637" s="461">
        <v>4700</v>
      </c>
      <c r="D637" s="216" t="s">
        <v>365</v>
      </c>
      <c r="E637" s="187">
        <v>230</v>
      </c>
      <c r="F637" s="170">
        <v>230</v>
      </c>
      <c r="G637" s="171">
        <f t="shared" si="15"/>
        <v>100</v>
      </c>
    </row>
    <row r="638" spans="1:7" ht="22.5">
      <c r="A638" s="749"/>
      <c r="B638" s="873"/>
      <c r="C638" s="151">
        <v>4740</v>
      </c>
      <c r="D638" s="173" t="s">
        <v>366</v>
      </c>
      <c r="E638" s="187">
        <v>317</v>
      </c>
      <c r="F638" s="170">
        <v>310.5</v>
      </c>
      <c r="G638" s="171">
        <f t="shared" si="15"/>
        <v>97.949526813880126</v>
      </c>
    </row>
    <row r="639" spans="1:7" ht="22.5">
      <c r="A639" s="749"/>
      <c r="B639" s="873"/>
      <c r="C639" s="151">
        <v>4750</v>
      </c>
      <c r="D639" s="173" t="s">
        <v>367</v>
      </c>
      <c r="E639" s="187">
        <v>1001</v>
      </c>
      <c r="F639" s="170">
        <v>1000.4</v>
      </c>
      <c r="G639" s="171">
        <f t="shared" si="15"/>
        <v>99.940059940059939</v>
      </c>
    </row>
    <row r="640" spans="1:7">
      <c r="A640" s="749"/>
      <c r="B640" s="195">
        <v>85204</v>
      </c>
      <c r="C640" s="195"/>
      <c r="D640" s="196" t="s">
        <v>100</v>
      </c>
      <c r="E640" s="182">
        <f>E641+E646</f>
        <v>1782886</v>
      </c>
      <c r="F640" s="167">
        <f>F641+F646</f>
        <v>1593007.68</v>
      </c>
      <c r="G640" s="168">
        <f t="shared" si="15"/>
        <v>89.349946098628848</v>
      </c>
    </row>
    <row r="641" spans="1:7">
      <c r="A641" s="749"/>
      <c r="B641" s="883"/>
      <c r="C641" s="197"/>
      <c r="D641" s="188" t="s">
        <v>359</v>
      </c>
      <c r="E641" s="230">
        <f>SUM(E642:E645)</f>
        <v>1661129</v>
      </c>
      <c r="F641" s="178">
        <f>SUM(F642:F645)</f>
        <v>1473936.49</v>
      </c>
      <c r="G641" s="168">
        <f t="shared" si="15"/>
        <v>88.731007044004414</v>
      </c>
    </row>
    <row r="642" spans="1:7">
      <c r="A642" s="749"/>
      <c r="B642" s="883"/>
      <c r="C642" s="198">
        <v>3110</v>
      </c>
      <c r="D642" s="199" t="s">
        <v>196</v>
      </c>
      <c r="E642" s="187">
        <v>1484483</v>
      </c>
      <c r="F642" s="170">
        <v>1337601.05</v>
      </c>
      <c r="G642" s="171">
        <f t="shared" si="15"/>
        <v>90.105514849277498</v>
      </c>
    </row>
    <row r="643" spans="1:7">
      <c r="A643" s="749"/>
      <c r="B643" s="883"/>
      <c r="C643" s="151">
        <v>4110</v>
      </c>
      <c r="D643" s="127" t="s">
        <v>169</v>
      </c>
      <c r="E643" s="187">
        <v>24390</v>
      </c>
      <c r="F643" s="170">
        <v>17751.98</v>
      </c>
      <c r="G643" s="171">
        <f t="shared" si="15"/>
        <v>72.78384583845839</v>
      </c>
    </row>
    <row r="644" spans="1:7">
      <c r="A644" s="749"/>
      <c r="B644" s="883"/>
      <c r="C644" s="151">
        <v>4120</v>
      </c>
      <c r="D644" s="127" t="s">
        <v>191</v>
      </c>
      <c r="E644" s="187">
        <v>3880</v>
      </c>
      <c r="F644" s="170">
        <v>2759.26</v>
      </c>
      <c r="G644" s="171">
        <f t="shared" si="15"/>
        <v>71.11494845360825</v>
      </c>
    </row>
    <row r="645" spans="1:7">
      <c r="A645" s="749"/>
      <c r="B645" s="883"/>
      <c r="C645" s="151">
        <v>4170</v>
      </c>
      <c r="D645" s="169" t="s">
        <v>170</v>
      </c>
      <c r="E645" s="187">
        <v>148376</v>
      </c>
      <c r="F645" s="170">
        <v>115824.2</v>
      </c>
      <c r="G645" s="171">
        <f t="shared" si="15"/>
        <v>78.061276756348732</v>
      </c>
    </row>
    <row r="646" spans="1:7">
      <c r="A646" s="749"/>
      <c r="B646" s="883"/>
      <c r="C646" s="176"/>
      <c r="D646" s="184" t="s">
        <v>193</v>
      </c>
      <c r="E646" s="230">
        <f>E647</f>
        <v>121757</v>
      </c>
      <c r="F646" s="178">
        <f>F647</f>
        <v>119071.19</v>
      </c>
      <c r="G646" s="168">
        <f t="shared" si="15"/>
        <v>97.794122719843628</v>
      </c>
    </row>
    <row r="647" spans="1:7" ht="24" customHeight="1">
      <c r="A647" s="749"/>
      <c r="B647" s="883"/>
      <c r="C647" s="151">
        <v>2320</v>
      </c>
      <c r="D647" s="186" t="s">
        <v>380</v>
      </c>
      <c r="E647" s="187">
        <v>121757</v>
      </c>
      <c r="F647" s="170">
        <v>119071.19</v>
      </c>
      <c r="G647" s="171">
        <f t="shared" si="15"/>
        <v>97.794122719843628</v>
      </c>
    </row>
    <row r="648" spans="1:7">
      <c r="A648" s="749"/>
      <c r="B648" s="165">
        <v>85218</v>
      </c>
      <c r="C648" s="165"/>
      <c r="D648" s="185" t="s">
        <v>101</v>
      </c>
      <c r="E648" s="182">
        <f>SUM(E649:E673)</f>
        <v>553554</v>
      </c>
      <c r="F648" s="182">
        <f>SUM(F649:F673)</f>
        <v>540489.12999999989</v>
      </c>
      <c r="G648" s="168">
        <f t="shared" si="15"/>
        <v>97.639820144014834</v>
      </c>
    </row>
    <row r="649" spans="1:7">
      <c r="A649" s="749"/>
      <c r="B649" s="867"/>
      <c r="C649" s="461">
        <v>3020</v>
      </c>
      <c r="D649" s="214" t="s">
        <v>166</v>
      </c>
      <c r="E649" s="187">
        <v>140</v>
      </c>
      <c r="F649" s="170">
        <v>139.52000000000001</v>
      </c>
      <c r="G649" s="171">
        <f t="shared" si="15"/>
        <v>99.657142857142873</v>
      </c>
    </row>
    <row r="650" spans="1:7">
      <c r="A650" s="749"/>
      <c r="B650" s="868"/>
      <c r="C650" s="151">
        <v>4010</v>
      </c>
      <c r="D650" s="127" t="s">
        <v>167</v>
      </c>
      <c r="E650" s="187">
        <v>267508</v>
      </c>
      <c r="F650" s="170">
        <v>264960.71999999997</v>
      </c>
      <c r="G650" s="171">
        <f t="shared" si="15"/>
        <v>99.047774272171281</v>
      </c>
    </row>
    <row r="651" spans="1:7">
      <c r="A651" s="749"/>
      <c r="B651" s="868"/>
      <c r="C651" s="151">
        <v>4040</v>
      </c>
      <c r="D651" s="127" t="s">
        <v>168</v>
      </c>
      <c r="E651" s="187">
        <v>19020</v>
      </c>
      <c r="F651" s="170">
        <v>19019.25</v>
      </c>
      <c r="G651" s="171">
        <f t="shared" si="15"/>
        <v>99.996056782334378</v>
      </c>
    </row>
    <row r="652" spans="1:7">
      <c r="A652" s="749"/>
      <c r="B652" s="868"/>
      <c r="C652" s="151">
        <v>4110</v>
      </c>
      <c r="D652" s="127" t="s">
        <v>169</v>
      </c>
      <c r="E652" s="187">
        <v>40443</v>
      </c>
      <c r="F652" s="170">
        <v>40149.82</v>
      </c>
      <c r="G652" s="171">
        <f t="shared" si="15"/>
        <v>99.275078505551022</v>
      </c>
    </row>
    <row r="653" spans="1:7">
      <c r="A653" s="749"/>
      <c r="B653" s="868"/>
      <c r="C653" s="151">
        <v>4120</v>
      </c>
      <c r="D653" s="127" t="s">
        <v>191</v>
      </c>
      <c r="E653" s="187">
        <v>6978</v>
      </c>
      <c r="F653" s="170">
        <v>6969.4</v>
      </c>
      <c r="G653" s="171">
        <f t="shared" si="15"/>
        <v>99.876755517340214</v>
      </c>
    </row>
    <row r="654" spans="1:7">
      <c r="A654" s="749"/>
      <c r="B654" s="868"/>
      <c r="C654" s="151">
        <v>4170</v>
      </c>
      <c r="D654" s="169" t="s">
        <v>170</v>
      </c>
      <c r="E654" s="187">
        <v>4830</v>
      </c>
      <c r="F654" s="170">
        <v>4830</v>
      </c>
      <c r="G654" s="171">
        <f t="shared" si="15"/>
        <v>100</v>
      </c>
    </row>
    <row r="655" spans="1:7">
      <c r="A655" s="749"/>
      <c r="B655" s="868"/>
      <c r="C655" s="151">
        <v>4210</v>
      </c>
      <c r="D655" s="127" t="s">
        <v>171</v>
      </c>
      <c r="E655" s="187">
        <v>16771</v>
      </c>
      <c r="F655" s="170">
        <v>16771</v>
      </c>
      <c r="G655" s="171">
        <f t="shared" si="15"/>
        <v>100</v>
      </c>
    </row>
    <row r="656" spans="1:7">
      <c r="A656" s="749"/>
      <c r="B656" s="868"/>
      <c r="C656" s="151">
        <v>4260</v>
      </c>
      <c r="D656" s="127" t="s">
        <v>172</v>
      </c>
      <c r="E656" s="187">
        <v>62800</v>
      </c>
      <c r="F656" s="170">
        <v>62742.23</v>
      </c>
      <c r="G656" s="171">
        <f t="shared" si="15"/>
        <v>99.908009554140122</v>
      </c>
    </row>
    <row r="657" spans="1:7">
      <c r="A657" s="749"/>
      <c r="B657" s="868"/>
      <c r="C657" s="151">
        <v>4270</v>
      </c>
      <c r="D657" s="127" t="s">
        <v>173</v>
      </c>
      <c r="E657" s="187">
        <v>50448</v>
      </c>
      <c r="F657" s="170">
        <v>40303.699999999997</v>
      </c>
      <c r="G657" s="171">
        <f t="shared" si="15"/>
        <v>79.891571519188062</v>
      </c>
    </row>
    <row r="658" spans="1:7">
      <c r="A658" s="749"/>
      <c r="B658" s="868"/>
      <c r="C658" s="151">
        <v>4280</v>
      </c>
      <c r="D658" s="169" t="s">
        <v>174</v>
      </c>
      <c r="E658" s="187">
        <v>230</v>
      </c>
      <c r="F658" s="170">
        <v>230</v>
      </c>
      <c r="G658" s="171">
        <f t="shared" si="15"/>
        <v>100</v>
      </c>
    </row>
    <row r="659" spans="1:7">
      <c r="A659" s="749"/>
      <c r="B659" s="868"/>
      <c r="C659" s="151">
        <v>4300</v>
      </c>
      <c r="D659" s="127" t="s">
        <v>161</v>
      </c>
      <c r="E659" s="187">
        <v>41283</v>
      </c>
      <c r="F659" s="170">
        <v>41282.550000000003</v>
      </c>
      <c r="G659" s="171">
        <f t="shared" si="15"/>
        <v>99.998909962938754</v>
      </c>
    </row>
    <row r="660" spans="1:7">
      <c r="A660" s="749"/>
      <c r="B660" s="868"/>
      <c r="C660" s="151">
        <v>4350</v>
      </c>
      <c r="D660" s="169" t="s">
        <v>175</v>
      </c>
      <c r="E660" s="187">
        <v>1113</v>
      </c>
      <c r="F660" s="170">
        <v>1112.5999999999999</v>
      </c>
      <c r="G660" s="171">
        <f t="shared" si="15"/>
        <v>99.964061096136561</v>
      </c>
    </row>
    <row r="661" spans="1:7" ht="22.5">
      <c r="A661" s="749"/>
      <c r="B661" s="868"/>
      <c r="C661" s="151">
        <v>4360</v>
      </c>
      <c r="D661" s="173" t="s">
        <v>361</v>
      </c>
      <c r="E661" s="187">
        <v>1678</v>
      </c>
      <c r="F661" s="170">
        <v>1677.2</v>
      </c>
      <c r="G661" s="171">
        <f t="shared" si="15"/>
        <v>99.952324195470794</v>
      </c>
    </row>
    <row r="662" spans="1:7" ht="22.5">
      <c r="A662" s="749"/>
      <c r="B662" s="868"/>
      <c r="C662" s="151">
        <v>4370</v>
      </c>
      <c r="D662" s="173" t="s">
        <v>362</v>
      </c>
      <c r="E662" s="187">
        <v>5753</v>
      </c>
      <c r="F662" s="170">
        <v>5752.35</v>
      </c>
      <c r="G662" s="171">
        <f t="shared" si="15"/>
        <v>99.988701547018948</v>
      </c>
    </row>
    <row r="663" spans="1:7">
      <c r="A663" s="749"/>
      <c r="B663" s="868"/>
      <c r="C663" s="151">
        <v>4410</v>
      </c>
      <c r="D663" s="127" t="s">
        <v>176</v>
      </c>
      <c r="E663" s="187">
        <v>4041</v>
      </c>
      <c r="F663" s="170">
        <v>4033.37</v>
      </c>
      <c r="G663" s="171">
        <f t="shared" si="15"/>
        <v>99.811185350160855</v>
      </c>
    </row>
    <row r="664" spans="1:7">
      <c r="A664" s="749"/>
      <c r="B664" s="868"/>
      <c r="C664" s="151">
        <v>4430</v>
      </c>
      <c r="D664" s="127" t="s">
        <v>177</v>
      </c>
      <c r="E664" s="187">
        <v>726</v>
      </c>
      <c r="F664" s="170">
        <v>725.65</v>
      </c>
      <c r="G664" s="171">
        <f t="shared" si="15"/>
        <v>99.951790633608809</v>
      </c>
    </row>
    <row r="665" spans="1:7">
      <c r="A665" s="749"/>
      <c r="B665" s="868"/>
      <c r="C665" s="151">
        <v>4440</v>
      </c>
      <c r="D665" s="127" t="s">
        <v>363</v>
      </c>
      <c r="E665" s="187">
        <v>8542</v>
      </c>
      <c r="F665" s="170">
        <v>8542</v>
      </c>
      <c r="G665" s="171">
        <f t="shared" si="15"/>
        <v>100</v>
      </c>
    </row>
    <row r="666" spans="1:7">
      <c r="A666" s="749"/>
      <c r="B666" s="868"/>
      <c r="C666" s="151">
        <v>4480</v>
      </c>
      <c r="D666" s="127" t="s">
        <v>178</v>
      </c>
      <c r="E666" s="187">
        <v>3608</v>
      </c>
      <c r="F666" s="170">
        <v>3607</v>
      </c>
      <c r="G666" s="171">
        <f t="shared" si="15"/>
        <v>99.972283813747225</v>
      </c>
    </row>
    <row r="667" spans="1:7">
      <c r="A667" s="749"/>
      <c r="B667" s="868"/>
      <c r="C667" s="461">
        <v>4510</v>
      </c>
      <c r="D667" s="216" t="s">
        <v>180</v>
      </c>
      <c r="E667" s="187">
        <v>100</v>
      </c>
      <c r="F667" s="170">
        <v>100</v>
      </c>
      <c r="G667" s="171">
        <f t="shared" si="15"/>
        <v>100</v>
      </c>
    </row>
    <row r="668" spans="1:7" ht="14.25" customHeight="1">
      <c r="A668" s="749"/>
      <c r="B668" s="868"/>
      <c r="C668" s="151">
        <v>4520</v>
      </c>
      <c r="D668" s="127" t="s">
        <v>179</v>
      </c>
      <c r="E668" s="187">
        <v>951</v>
      </c>
      <c r="F668" s="170">
        <v>950.34</v>
      </c>
      <c r="G668" s="171">
        <f t="shared" si="15"/>
        <v>99.930599369085172</v>
      </c>
    </row>
    <row r="669" spans="1:7" ht="14.25" customHeight="1">
      <c r="A669" s="749"/>
      <c r="B669" s="868"/>
      <c r="C669" s="151">
        <v>4530</v>
      </c>
      <c r="D669" s="169" t="s">
        <v>164</v>
      </c>
      <c r="E669" s="187">
        <v>7873</v>
      </c>
      <c r="F669" s="170">
        <v>7873</v>
      </c>
      <c r="G669" s="171">
        <f t="shared" si="15"/>
        <v>100</v>
      </c>
    </row>
    <row r="670" spans="1:7" ht="14.25" customHeight="1">
      <c r="A670" s="749"/>
      <c r="B670" s="868"/>
      <c r="C670" s="461">
        <v>4610</v>
      </c>
      <c r="D670" s="216" t="s">
        <v>162</v>
      </c>
      <c r="E670" s="187">
        <v>87</v>
      </c>
      <c r="F670" s="170">
        <v>87</v>
      </c>
      <c r="G670" s="171">
        <f t="shared" si="15"/>
        <v>100</v>
      </c>
    </row>
    <row r="671" spans="1:7" ht="22.5">
      <c r="A671" s="749"/>
      <c r="B671" s="868"/>
      <c r="C671" s="151">
        <v>4700</v>
      </c>
      <c r="D671" s="173" t="s">
        <v>365</v>
      </c>
      <c r="E671" s="187">
        <v>1570</v>
      </c>
      <c r="F671" s="170">
        <v>1570</v>
      </c>
      <c r="G671" s="171">
        <f t="shared" si="15"/>
        <v>100</v>
      </c>
    </row>
    <row r="672" spans="1:7" ht="22.5">
      <c r="A672" s="749"/>
      <c r="B672" s="868"/>
      <c r="C672" s="151">
        <v>4740</v>
      </c>
      <c r="D672" s="173" t="s">
        <v>366</v>
      </c>
      <c r="E672" s="187">
        <v>3861</v>
      </c>
      <c r="F672" s="170">
        <v>3860.96</v>
      </c>
      <c r="G672" s="171">
        <f t="shared" si="15"/>
        <v>99.998963998964001</v>
      </c>
    </row>
    <row r="673" spans="1:7" ht="22.5">
      <c r="A673" s="749"/>
      <c r="B673" s="869"/>
      <c r="C673" s="151">
        <v>4750</v>
      </c>
      <c r="D673" s="173" t="s">
        <v>367</v>
      </c>
      <c r="E673" s="187">
        <v>3200</v>
      </c>
      <c r="F673" s="170">
        <v>3199.47</v>
      </c>
      <c r="G673" s="171">
        <f t="shared" si="15"/>
        <v>99.983437499999994</v>
      </c>
    </row>
    <row r="674" spans="1:7">
      <c r="A674" s="749"/>
      <c r="B674" s="465">
        <v>85226</v>
      </c>
      <c r="C674" s="465"/>
      <c r="D674" s="738" t="s">
        <v>611</v>
      </c>
      <c r="E674" s="182">
        <f>SUM(E675:E689)</f>
        <v>168986</v>
      </c>
      <c r="F674" s="182">
        <f>SUM(F675:F689)</f>
        <v>168981.23000000004</v>
      </c>
      <c r="G674" s="171">
        <f t="shared" si="15"/>
        <v>99.997177280958212</v>
      </c>
    </row>
    <row r="675" spans="1:7">
      <c r="A675" s="749"/>
      <c r="B675" s="748"/>
      <c r="C675" s="461">
        <v>4010</v>
      </c>
      <c r="D675" s="127" t="s">
        <v>167</v>
      </c>
      <c r="E675" s="187">
        <v>116893</v>
      </c>
      <c r="F675" s="170">
        <v>116893</v>
      </c>
      <c r="G675" s="171">
        <f t="shared" si="15"/>
        <v>100</v>
      </c>
    </row>
    <row r="676" spans="1:7">
      <c r="A676" s="749"/>
      <c r="B676" s="749"/>
      <c r="C676" s="461">
        <v>4040</v>
      </c>
      <c r="D676" s="127" t="s">
        <v>168</v>
      </c>
      <c r="E676" s="187">
        <v>9197</v>
      </c>
      <c r="F676" s="170">
        <v>9196.83</v>
      </c>
      <c r="G676" s="171">
        <f t="shared" si="15"/>
        <v>99.998151571164513</v>
      </c>
    </row>
    <row r="677" spans="1:7">
      <c r="A677" s="749"/>
      <c r="B677" s="749"/>
      <c r="C677" s="461">
        <v>4110</v>
      </c>
      <c r="D677" s="127" t="s">
        <v>169</v>
      </c>
      <c r="E677" s="187">
        <v>20010</v>
      </c>
      <c r="F677" s="170">
        <v>20009.34</v>
      </c>
      <c r="G677" s="171">
        <f t="shared" si="15"/>
        <v>99.996701649175407</v>
      </c>
    </row>
    <row r="678" spans="1:7">
      <c r="A678" s="749"/>
      <c r="B678" s="749"/>
      <c r="C678" s="461">
        <v>4120</v>
      </c>
      <c r="D678" s="127" t="s">
        <v>191</v>
      </c>
      <c r="E678" s="187">
        <v>3164</v>
      </c>
      <c r="F678" s="170">
        <v>3163.3</v>
      </c>
      <c r="G678" s="171">
        <f t="shared" si="15"/>
        <v>99.977876106194685</v>
      </c>
    </row>
    <row r="679" spans="1:7">
      <c r="A679" s="749"/>
      <c r="B679" s="749"/>
      <c r="C679" s="461">
        <v>4210</v>
      </c>
      <c r="D679" s="127" t="s">
        <v>171</v>
      </c>
      <c r="E679" s="187">
        <v>3147</v>
      </c>
      <c r="F679" s="170">
        <v>3146.15</v>
      </c>
      <c r="G679" s="171">
        <f t="shared" si="15"/>
        <v>99.97299014934859</v>
      </c>
    </row>
    <row r="680" spans="1:7">
      <c r="A680" s="749"/>
      <c r="B680" s="749"/>
      <c r="C680" s="461">
        <v>4260</v>
      </c>
      <c r="D680" s="127" t="s">
        <v>172</v>
      </c>
      <c r="E680" s="187">
        <v>4957</v>
      </c>
      <c r="F680" s="170">
        <v>4957</v>
      </c>
      <c r="G680" s="171">
        <f t="shared" si="15"/>
        <v>100</v>
      </c>
    </row>
    <row r="681" spans="1:7">
      <c r="A681" s="749"/>
      <c r="B681" s="749"/>
      <c r="C681" s="461">
        <v>4280</v>
      </c>
      <c r="D681" s="169" t="s">
        <v>174</v>
      </c>
      <c r="E681" s="187">
        <v>50</v>
      </c>
      <c r="F681" s="170">
        <v>50</v>
      </c>
      <c r="G681" s="171">
        <f t="shared" si="15"/>
        <v>100</v>
      </c>
    </row>
    <row r="682" spans="1:7">
      <c r="A682" s="749"/>
      <c r="B682" s="749"/>
      <c r="C682" s="461">
        <v>4300</v>
      </c>
      <c r="D682" s="127" t="s">
        <v>161</v>
      </c>
      <c r="E682" s="187">
        <v>3475</v>
      </c>
      <c r="F682" s="170">
        <v>3474.2</v>
      </c>
      <c r="G682" s="171">
        <f t="shared" si="15"/>
        <v>99.976978417266182</v>
      </c>
    </row>
    <row r="683" spans="1:7">
      <c r="A683" s="749"/>
      <c r="B683" s="749"/>
      <c r="C683" s="461">
        <v>4350</v>
      </c>
      <c r="D683" s="169" t="s">
        <v>175</v>
      </c>
      <c r="E683" s="187">
        <v>224</v>
      </c>
      <c r="F683" s="170">
        <v>223.92</v>
      </c>
      <c r="G683" s="171">
        <f t="shared" si="15"/>
        <v>99.964285714285708</v>
      </c>
    </row>
    <row r="684" spans="1:7" ht="22.5">
      <c r="A684" s="749"/>
      <c r="B684" s="749"/>
      <c r="C684" s="461">
        <v>4360</v>
      </c>
      <c r="D684" s="173" t="s">
        <v>361</v>
      </c>
      <c r="E684" s="187">
        <v>1440</v>
      </c>
      <c r="F684" s="170">
        <v>1440</v>
      </c>
      <c r="G684" s="171">
        <f t="shared" si="15"/>
        <v>100</v>
      </c>
    </row>
    <row r="685" spans="1:7" ht="22.5">
      <c r="A685" s="749"/>
      <c r="B685" s="749"/>
      <c r="C685" s="461">
        <v>4370</v>
      </c>
      <c r="D685" s="173" t="s">
        <v>362</v>
      </c>
      <c r="E685" s="187">
        <v>182</v>
      </c>
      <c r="F685" s="170">
        <v>181.54</v>
      </c>
      <c r="G685" s="171">
        <f t="shared" si="15"/>
        <v>99.747252747252745</v>
      </c>
    </row>
    <row r="686" spans="1:7">
      <c r="A686" s="749"/>
      <c r="B686" s="749"/>
      <c r="C686" s="461">
        <v>4410</v>
      </c>
      <c r="D686" s="127" t="s">
        <v>176</v>
      </c>
      <c r="E686" s="187">
        <v>426</v>
      </c>
      <c r="F686" s="170">
        <v>425.32</v>
      </c>
      <c r="G686" s="171">
        <f t="shared" si="15"/>
        <v>99.840375586854464</v>
      </c>
    </row>
    <row r="687" spans="1:7">
      <c r="A687" s="749"/>
      <c r="B687" s="749"/>
      <c r="C687" s="461">
        <v>4440</v>
      </c>
      <c r="D687" s="127" t="s">
        <v>363</v>
      </c>
      <c r="E687" s="187">
        <v>4646</v>
      </c>
      <c r="F687" s="170">
        <v>4646</v>
      </c>
      <c r="G687" s="171">
        <f t="shared" si="15"/>
        <v>100</v>
      </c>
    </row>
    <row r="688" spans="1:7" ht="22.5">
      <c r="A688" s="749"/>
      <c r="B688" s="749"/>
      <c r="C688" s="461">
        <v>4740</v>
      </c>
      <c r="D688" s="173" t="s">
        <v>366</v>
      </c>
      <c r="E688" s="187">
        <v>91</v>
      </c>
      <c r="F688" s="170">
        <v>90.63</v>
      </c>
      <c r="G688" s="171">
        <f t="shared" si="15"/>
        <v>99.593406593406598</v>
      </c>
    </row>
    <row r="689" spans="1:7" ht="22.5">
      <c r="A689" s="749"/>
      <c r="B689" s="750"/>
      <c r="C689" s="461">
        <v>4750</v>
      </c>
      <c r="D689" s="173" t="s">
        <v>367</v>
      </c>
      <c r="E689" s="187">
        <v>1084</v>
      </c>
      <c r="F689" s="170">
        <v>1084</v>
      </c>
      <c r="G689" s="171">
        <f t="shared" si="15"/>
        <v>100</v>
      </c>
    </row>
    <row r="690" spans="1:7">
      <c r="A690" s="749"/>
      <c r="B690" s="165">
        <v>85233</v>
      </c>
      <c r="C690" s="165"/>
      <c r="D690" s="185" t="s">
        <v>141</v>
      </c>
      <c r="E690" s="182">
        <f>E691</f>
        <v>2583</v>
      </c>
      <c r="F690" s="167">
        <f>F691</f>
        <v>2099.8200000000002</v>
      </c>
      <c r="G690" s="171">
        <f t="shared" si="15"/>
        <v>81.293844367015112</v>
      </c>
    </row>
    <row r="691" spans="1:7">
      <c r="A691" s="749"/>
      <c r="B691" s="151"/>
      <c r="C691" s="151">
        <v>4300</v>
      </c>
      <c r="D691" s="127" t="s">
        <v>161</v>
      </c>
      <c r="E691" s="187">
        <v>2583</v>
      </c>
      <c r="F691" s="170">
        <v>2099.8200000000002</v>
      </c>
      <c r="G691" s="171">
        <f t="shared" si="15"/>
        <v>81.293844367015112</v>
      </c>
    </row>
    <row r="692" spans="1:7">
      <c r="A692" s="749"/>
      <c r="B692" s="466">
        <v>85295</v>
      </c>
      <c r="C692" s="465"/>
      <c r="D692" s="185" t="s">
        <v>88</v>
      </c>
      <c r="E692" s="167">
        <f>SUM(E693:E695)</f>
        <v>56529</v>
      </c>
      <c r="F692" s="167">
        <f>SUM(F693:F695)</f>
        <v>56529</v>
      </c>
      <c r="G692" s="171">
        <f t="shared" si="15"/>
        <v>100</v>
      </c>
    </row>
    <row r="693" spans="1:7">
      <c r="A693" s="749"/>
      <c r="B693" s="874"/>
      <c r="C693" s="461">
        <v>4170</v>
      </c>
      <c r="D693" s="169" t="s">
        <v>170</v>
      </c>
      <c r="E693" s="187">
        <v>12800</v>
      </c>
      <c r="F693" s="170">
        <v>12800</v>
      </c>
      <c r="G693" s="171">
        <f t="shared" si="15"/>
        <v>100</v>
      </c>
    </row>
    <row r="694" spans="1:7">
      <c r="A694" s="749"/>
      <c r="B694" s="875"/>
      <c r="C694" s="461">
        <v>4210</v>
      </c>
      <c r="D694" s="127" t="s">
        <v>171</v>
      </c>
      <c r="E694" s="187">
        <v>34742</v>
      </c>
      <c r="F694" s="170">
        <v>34742.06</v>
      </c>
      <c r="G694" s="171">
        <f t="shared" si="15"/>
        <v>100.00017270162915</v>
      </c>
    </row>
    <row r="695" spans="1:7">
      <c r="A695" s="750"/>
      <c r="B695" s="876"/>
      <c r="C695" s="461">
        <v>4300</v>
      </c>
      <c r="D695" s="127" t="s">
        <v>161</v>
      </c>
      <c r="E695" s="187">
        <v>8987</v>
      </c>
      <c r="F695" s="170">
        <v>8986.94</v>
      </c>
      <c r="G695" s="171">
        <f t="shared" si="15"/>
        <v>99.999332368977406</v>
      </c>
    </row>
    <row r="696" spans="1:7">
      <c r="A696" s="200">
        <v>853</v>
      </c>
      <c r="B696" s="200"/>
      <c r="C696" s="200"/>
      <c r="D696" s="201" t="s">
        <v>102</v>
      </c>
      <c r="E696" s="206">
        <f>E700+E711+E731+E733+E697</f>
        <v>3146199.8</v>
      </c>
      <c r="F696" s="163">
        <f>F700+F711+F731+F733+F697</f>
        <v>3129765.7300000004</v>
      </c>
      <c r="G696" s="164">
        <f t="shared" si="15"/>
        <v>99.477653326403512</v>
      </c>
    </row>
    <row r="697" spans="1:7" s="14" customFormat="1" ht="21">
      <c r="A697" s="877"/>
      <c r="B697" s="202">
        <v>85311</v>
      </c>
      <c r="C697" s="202"/>
      <c r="D697" s="203" t="s">
        <v>339</v>
      </c>
      <c r="E697" s="182">
        <f>E699+E698</f>
        <v>82200</v>
      </c>
      <c r="F697" s="182">
        <f>F699+F698</f>
        <v>82200</v>
      </c>
      <c r="G697" s="171">
        <f t="shared" si="15"/>
        <v>100</v>
      </c>
    </row>
    <row r="698" spans="1:7" s="14" customFormat="1" ht="48">
      <c r="A698" s="889"/>
      <c r="B698" s="877"/>
      <c r="C698" s="204">
        <v>2310</v>
      </c>
      <c r="D698" s="682" t="s">
        <v>555</v>
      </c>
      <c r="E698" s="187">
        <v>41100</v>
      </c>
      <c r="F698" s="170">
        <v>41100</v>
      </c>
      <c r="G698" s="171">
        <f t="shared" si="15"/>
        <v>100</v>
      </c>
    </row>
    <row r="699" spans="1:7" s="145" customFormat="1" ht="22.5">
      <c r="A699" s="889"/>
      <c r="B699" s="878"/>
      <c r="C699" s="204">
        <v>2580</v>
      </c>
      <c r="D699" s="205" t="s">
        <v>381</v>
      </c>
      <c r="E699" s="187">
        <v>41100</v>
      </c>
      <c r="F699" s="170">
        <v>41100</v>
      </c>
      <c r="G699" s="171">
        <f t="shared" si="15"/>
        <v>100</v>
      </c>
    </row>
    <row r="700" spans="1:7">
      <c r="A700" s="889"/>
      <c r="B700" s="165">
        <v>85321</v>
      </c>
      <c r="C700" s="165"/>
      <c r="D700" s="185" t="s">
        <v>200</v>
      </c>
      <c r="E700" s="182">
        <f>SUM(E701:E710)</f>
        <v>81000</v>
      </c>
      <c r="F700" s="167">
        <f>SUM(F701:F710)</f>
        <v>80947.03</v>
      </c>
      <c r="G700" s="168">
        <f t="shared" si="15"/>
        <v>99.934604938271605</v>
      </c>
    </row>
    <row r="701" spans="1:7">
      <c r="A701" s="889"/>
      <c r="B701" s="867"/>
      <c r="C701" s="151">
        <v>4010</v>
      </c>
      <c r="D701" s="127" t="s">
        <v>167</v>
      </c>
      <c r="E701" s="187">
        <v>27221</v>
      </c>
      <c r="F701" s="170">
        <v>27211.52</v>
      </c>
      <c r="G701" s="171">
        <f t="shared" si="15"/>
        <v>99.965173946585352</v>
      </c>
    </row>
    <row r="702" spans="1:7">
      <c r="A702" s="889"/>
      <c r="B702" s="868"/>
      <c r="C702" s="151">
        <v>4040</v>
      </c>
      <c r="D702" s="127" t="s">
        <v>168</v>
      </c>
      <c r="E702" s="187">
        <v>2200</v>
      </c>
      <c r="F702" s="170">
        <v>2180.12</v>
      </c>
      <c r="G702" s="171">
        <f t="shared" si="15"/>
        <v>99.096363636363634</v>
      </c>
    </row>
    <row r="703" spans="1:7">
      <c r="A703" s="889"/>
      <c r="B703" s="868"/>
      <c r="C703" s="151">
        <v>4110</v>
      </c>
      <c r="D703" s="127" t="s">
        <v>169</v>
      </c>
      <c r="E703" s="187">
        <v>4815</v>
      </c>
      <c r="F703" s="170">
        <v>4805.8500000000004</v>
      </c>
      <c r="G703" s="171">
        <f t="shared" si="15"/>
        <v>99.809968847352039</v>
      </c>
    </row>
    <row r="704" spans="1:7">
      <c r="A704" s="889"/>
      <c r="B704" s="868"/>
      <c r="C704" s="151">
        <v>4120</v>
      </c>
      <c r="D704" s="127" t="s">
        <v>191</v>
      </c>
      <c r="E704" s="187">
        <v>724</v>
      </c>
      <c r="F704" s="170">
        <v>710.42</v>
      </c>
      <c r="G704" s="171">
        <f t="shared" si="15"/>
        <v>98.124309392265189</v>
      </c>
    </row>
    <row r="705" spans="1:7">
      <c r="A705" s="889"/>
      <c r="B705" s="868"/>
      <c r="C705" s="151">
        <v>4170</v>
      </c>
      <c r="D705" s="169" t="s">
        <v>170</v>
      </c>
      <c r="E705" s="187">
        <v>16224</v>
      </c>
      <c r="F705" s="170">
        <v>16224</v>
      </c>
      <c r="G705" s="171">
        <f t="shared" si="15"/>
        <v>100</v>
      </c>
    </row>
    <row r="706" spans="1:7">
      <c r="A706" s="889"/>
      <c r="B706" s="868"/>
      <c r="C706" s="151">
        <v>4210</v>
      </c>
      <c r="D706" s="127" t="s">
        <v>171</v>
      </c>
      <c r="E706" s="187">
        <v>701</v>
      </c>
      <c r="F706" s="170">
        <v>701</v>
      </c>
      <c r="G706" s="171">
        <f t="shared" si="15"/>
        <v>100</v>
      </c>
    </row>
    <row r="707" spans="1:7">
      <c r="A707" s="889"/>
      <c r="B707" s="868"/>
      <c r="C707" s="151">
        <v>4300</v>
      </c>
      <c r="D707" s="127" t="s">
        <v>161</v>
      </c>
      <c r="E707" s="187">
        <v>26796</v>
      </c>
      <c r="F707" s="170">
        <v>26796</v>
      </c>
      <c r="G707" s="171">
        <f t="shared" si="15"/>
        <v>100</v>
      </c>
    </row>
    <row r="708" spans="1:7">
      <c r="A708" s="889"/>
      <c r="B708" s="868"/>
      <c r="C708" s="151">
        <v>4440</v>
      </c>
      <c r="D708" s="127" t="s">
        <v>363</v>
      </c>
      <c r="E708" s="187">
        <v>1001</v>
      </c>
      <c r="F708" s="170">
        <v>1001</v>
      </c>
      <c r="G708" s="171">
        <f t="shared" si="15"/>
        <v>100</v>
      </c>
    </row>
    <row r="709" spans="1:7" ht="22.5">
      <c r="A709" s="889"/>
      <c r="B709" s="868"/>
      <c r="C709" s="151">
        <v>4740</v>
      </c>
      <c r="D709" s="173" t="s">
        <v>366</v>
      </c>
      <c r="E709" s="187">
        <v>500</v>
      </c>
      <c r="F709" s="170">
        <v>499.76</v>
      </c>
      <c r="G709" s="171">
        <f t="shared" si="15"/>
        <v>99.951999999999998</v>
      </c>
    </row>
    <row r="710" spans="1:7" ht="22.5">
      <c r="A710" s="889"/>
      <c r="B710" s="869"/>
      <c r="C710" s="151">
        <v>4750</v>
      </c>
      <c r="D710" s="173" t="s">
        <v>367</v>
      </c>
      <c r="E710" s="187">
        <v>818</v>
      </c>
      <c r="F710" s="170">
        <v>817.36</v>
      </c>
      <c r="G710" s="171">
        <f t="shared" si="15"/>
        <v>99.921760391198049</v>
      </c>
    </row>
    <row r="711" spans="1:7">
      <c r="A711" s="889"/>
      <c r="B711" s="165">
        <v>85333</v>
      </c>
      <c r="C711" s="165"/>
      <c r="D711" s="185" t="s">
        <v>103</v>
      </c>
      <c r="E711" s="182">
        <f>E712+E729</f>
        <v>1798412</v>
      </c>
      <c r="F711" s="167">
        <f>F712+F729</f>
        <v>1798406.6700000002</v>
      </c>
      <c r="G711" s="168">
        <f t="shared" si="15"/>
        <v>99.999703627422434</v>
      </c>
    </row>
    <row r="712" spans="1:7">
      <c r="A712" s="889"/>
      <c r="B712" s="867"/>
      <c r="C712" s="165"/>
      <c r="D712" s="184" t="s">
        <v>203</v>
      </c>
      <c r="E712" s="230">
        <f>SUM(E713:E728)</f>
        <v>1794630</v>
      </c>
      <c r="F712" s="178">
        <f>SUM(F713:F728)</f>
        <v>1794624.6700000002</v>
      </c>
      <c r="G712" s="183">
        <f t="shared" si="15"/>
        <v>99.999703002847397</v>
      </c>
    </row>
    <row r="713" spans="1:7">
      <c r="A713" s="889"/>
      <c r="B713" s="868"/>
      <c r="C713" s="461">
        <v>3020</v>
      </c>
      <c r="D713" s="214" t="s">
        <v>166</v>
      </c>
      <c r="E713" s="187">
        <v>240</v>
      </c>
      <c r="F713" s="170">
        <v>240</v>
      </c>
      <c r="G713" s="171">
        <f t="shared" si="15"/>
        <v>100</v>
      </c>
    </row>
    <row r="714" spans="1:7">
      <c r="A714" s="889"/>
      <c r="B714" s="868"/>
      <c r="C714" s="151">
        <v>4010</v>
      </c>
      <c r="D714" s="127" t="s">
        <v>167</v>
      </c>
      <c r="E714" s="187">
        <v>1293386</v>
      </c>
      <c r="F714" s="170">
        <v>1293385.99</v>
      </c>
      <c r="G714" s="171">
        <f t="shared" si="15"/>
        <v>99.999999226835612</v>
      </c>
    </row>
    <row r="715" spans="1:7">
      <c r="A715" s="889"/>
      <c r="B715" s="868"/>
      <c r="C715" s="151">
        <v>4040</v>
      </c>
      <c r="D715" s="127" t="s">
        <v>168</v>
      </c>
      <c r="E715" s="187">
        <v>84599</v>
      </c>
      <c r="F715" s="170">
        <v>84598.07</v>
      </c>
      <c r="G715" s="171">
        <f t="shared" ref="G715:G717" si="16">F715*100/E715</f>
        <v>99.998900696225718</v>
      </c>
    </row>
    <row r="716" spans="1:7">
      <c r="A716" s="889"/>
      <c r="B716" s="868"/>
      <c r="C716" s="151">
        <v>4110</v>
      </c>
      <c r="D716" s="127" t="s">
        <v>169</v>
      </c>
      <c r="E716" s="187">
        <v>210683</v>
      </c>
      <c r="F716" s="170">
        <v>210682.63</v>
      </c>
      <c r="G716" s="171">
        <f t="shared" si="16"/>
        <v>99.999824380704666</v>
      </c>
    </row>
    <row r="717" spans="1:7">
      <c r="A717" s="889"/>
      <c r="B717" s="868"/>
      <c r="C717" s="151">
        <v>4120</v>
      </c>
      <c r="D717" s="127" t="s">
        <v>191</v>
      </c>
      <c r="E717" s="187">
        <v>32341</v>
      </c>
      <c r="F717" s="170">
        <v>32340.37</v>
      </c>
      <c r="G717" s="171">
        <f t="shared" si="16"/>
        <v>99.998052008286692</v>
      </c>
    </row>
    <row r="718" spans="1:7">
      <c r="A718" s="889"/>
      <c r="B718" s="868"/>
      <c r="C718" s="151">
        <v>4170</v>
      </c>
      <c r="D718" s="169" t="s">
        <v>170</v>
      </c>
      <c r="E718" s="187">
        <v>31230</v>
      </c>
      <c r="F718" s="170">
        <v>31230</v>
      </c>
      <c r="G718" s="171">
        <f t="shared" ref="G718:G796" si="17">F718*100/E718</f>
        <v>100</v>
      </c>
    </row>
    <row r="719" spans="1:7">
      <c r="A719" s="889"/>
      <c r="B719" s="868"/>
      <c r="C719" s="151">
        <v>4210</v>
      </c>
      <c r="D719" s="127" t="s">
        <v>171</v>
      </c>
      <c r="E719" s="187">
        <v>12870</v>
      </c>
      <c r="F719" s="170">
        <v>12870</v>
      </c>
      <c r="G719" s="171">
        <f t="shared" si="17"/>
        <v>100</v>
      </c>
    </row>
    <row r="720" spans="1:7">
      <c r="A720" s="889"/>
      <c r="B720" s="868"/>
      <c r="C720" s="151">
        <v>4260</v>
      </c>
      <c r="D720" s="127" t="s">
        <v>172</v>
      </c>
      <c r="E720" s="187">
        <v>36554</v>
      </c>
      <c r="F720" s="170">
        <v>36553.1</v>
      </c>
      <c r="G720" s="171">
        <f t="shared" si="17"/>
        <v>99.997537889150294</v>
      </c>
    </row>
    <row r="721" spans="1:7">
      <c r="A721" s="889"/>
      <c r="B721" s="868"/>
      <c r="C721" s="151">
        <v>4270</v>
      </c>
      <c r="D721" s="127" t="s">
        <v>173</v>
      </c>
      <c r="E721" s="187">
        <v>17020</v>
      </c>
      <c r="F721" s="170">
        <v>17019.68</v>
      </c>
      <c r="G721" s="171">
        <f t="shared" si="17"/>
        <v>99.998119858989426</v>
      </c>
    </row>
    <row r="722" spans="1:7">
      <c r="A722" s="889"/>
      <c r="B722" s="868"/>
      <c r="C722" s="151">
        <v>4280</v>
      </c>
      <c r="D722" s="127" t="s">
        <v>174</v>
      </c>
      <c r="E722" s="187">
        <v>512</v>
      </c>
      <c r="F722" s="170">
        <v>511.3</v>
      </c>
      <c r="G722" s="171">
        <f t="shared" si="17"/>
        <v>99.86328125</v>
      </c>
    </row>
    <row r="723" spans="1:7">
      <c r="A723" s="889"/>
      <c r="B723" s="868"/>
      <c r="C723" s="151">
        <v>4300</v>
      </c>
      <c r="D723" s="127" t="s">
        <v>161</v>
      </c>
      <c r="E723" s="187">
        <v>4004</v>
      </c>
      <c r="F723" s="170">
        <v>4003.51</v>
      </c>
      <c r="G723" s="171">
        <f t="shared" si="17"/>
        <v>99.98776223776224</v>
      </c>
    </row>
    <row r="724" spans="1:7" ht="22.5">
      <c r="A724" s="889"/>
      <c r="B724" s="868"/>
      <c r="C724" s="151">
        <v>4370</v>
      </c>
      <c r="D724" s="173" t="s">
        <v>362</v>
      </c>
      <c r="E724" s="187">
        <v>263</v>
      </c>
      <c r="F724" s="170">
        <v>262.63</v>
      </c>
      <c r="G724" s="171">
        <f t="shared" si="17"/>
        <v>99.859315589353614</v>
      </c>
    </row>
    <row r="725" spans="1:7">
      <c r="A725" s="889"/>
      <c r="B725" s="868"/>
      <c r="C725" s="151">
        <v>4410</v>
      </c>
      <c r="D725" s="127" t="s">
        <v>176</v>
      </c>
      <c r="E725" s="187">
        <v>7927</v>
      </c>
      <c r="F725" s="170">
        <v>7926.85</v>
      </c>
      <c r="G725" s="171">
        <f t="shared" si="17"/>
        <v>99.998107733064217</v>
      </c>
    </row>
    <row r="726" spans="1:7">
      <c r="A726" s="889"/>
      <c r="B726" s="868"/>
      <c r="C726" s="151">
        <v>4440</v>
      </c>
      <c r="D726" s="127" t="s">
        <v>363</v>
      </c>
      <c r="E726" s="187">
        <v>49075</v>
      </c>
      <c r="F726" s="170">
        <v>49075</v>
      </c>
      <c r="G726" s="171">
        <f t="shared" si="17"/>
        <v>100</v>
      </c>
    </row>
    <row r="727" spans="1:7">
      <c r="A727" s="889"/>
      <c r="B727" s="868"/>
      <c r="C727" s="151">
        <v>4480</v>
      </c>
      <c r="D727" s="127" t="s">
        <v>178</v>
      </c>
      <c r="E727" s="187">
        <v>7319</v>
      </c>
      <c r="F727" s="170">
        <v>7319</v>
      </c>
      <c r="G727" s="171">
        <f t="shared" si="17"/>
        <v>100</v>
      </c>
    </row>
    <row r="728" spans="1:7">
      <c r="A728" s="889"/>
      <c r="B728" s="868"/>
      <c r="C728" s="151">
        <v>6050</v>
      </c>
      <c r="D728" s="173" t="s">
        <v>165</v>
      </c>
      <c r="E728" s="187">
        <v>6607</v>
      </c>
      <c r="F728" s="170">
        <v>6606.54</v>
      </c>
      <c r="G728" s="171">
        <f t="shared" si="17"/>
        <v>99.993037687301353</v>
      </c>
    </row>
    <row r="729" spans="1:7">
      <c r="A729" s="889"/>
      <c r="B729" s="868"/>
      <c r="C729" s="165"/>
      <c r="D729" s="193" t="s">
        <v>193</v>
      </c>
      <c r="E729" s="230">
        <f>E730</f>
        <v>3782</v>
      </c>
      <c r="F729" s="178">
        <f>F730</f>
        <v>3782</v>
      </c>
      <c r="G729" s="183">
        <f t="shared" si="17"/>
        <v>100</v>
      </c>
    </row>
    <row r="730" spans="1:7">
      <c r="A730" s="889"/>
      <c r="B730" s="869"/>
      <c r="C730" s="151">
        <v>6050</v>
      </c>
      <c r="D730" s="173" t="s">
        <v>165</v>
      </c>
      <c r="E730" s="187">
        <v>3782</v>
      </c>
      <c r="F730" s="170">
        <v>3782</v>
      </c>
      <c r="G730" s="171">
        <f t="shared" si="17"/>
        <v>100</v>
      </c>
    </row>
    <row r="731" spans="1:7">
      <c r="A731" s="889"/>
      <c r="B731" s="165">
        <v>85334</v>
      </c>
      <c r="C731" s="165"/>
      <c r="D731" s="185" t="s">
        <v>104</v>
      </c>
      <c r="E731" s="182">
        <f>E732</f>
        <v>43915</v>
      </c>
      <c r="F731" s="167">
        <f>F732</f>
        <v>42788.6</v>
      </c>
      <c r="G731" s="168">
        <f t="shared" si="17"/>
        <v>97.435044973243762</v>
      </c>
    </row>
    <row r="732" spans="1:7">
      <c r="A732" s="889"/>
      <c r="B732" s="165"/>
      <c r="C732" s="151">
        <v>3110</v>
      </c>
      <c r="D732" s="127" t="s">
        <v>201</v>
      </c>
      <c r="E732" s="187">
        <v>43915</v>
      </c>
      <c r="F732" s="170">
        <v>42788.6</v>
      </c>
      <c r="G732" s="171">
        <f t="shared" si="17"/>
        <v>97.435044973243762</v>
      </c>
    </row>
    <row r="733" spans="1:7">
      <c r="A733" s="889"/>
      <c r="B733" s="165">
        <v>85395</v>
      </c>
      <c r="C733" s="165"/>
      <c r="D733" s="185" t="s">
        <v>88</v>
      </c>
      <c r="E733" s="182">
        <f>E734+E755+E761</f>
        <v>1140672.7999999998</v>
      </c>
      <c r="F733" s="167">
        <f>F734+F755+F761</f>
        <v>1125423.43</v>
      </c>
      <c r="G733" s="168">
        <f t="shared" si="17"/>
        <v>98.663124955727895</v>
      </c>
    </row>
    <row r="734" spans="1:7">
      <c r="A734" s="889"/>
      <c r="B734" s="867"/>
      <c r="C734" s="165"/>
      <c r="D734" s="184" t="s">
        <v>359</v>
      </c>
      <c r="E734" s="182">
        <f>SUM(E735:E754)</f>
        <v>375877</v>
      </c>
      <c r="F734" s="182">
        <f>SUM(F735:F754)</f>
        <v>373152.63</v>
      </c>
      <c r="G734" s="168">
        <f t="shared" si="17"/>
        <v>99.275196407335372</v>
      </c>
    </row>
    <row r="735" spans="1:7" ht="22.5" customHeight="1">
      <c r="A735" s="889"/>
      <c r="B735" s="868"/>
      <c r="C735" s="151">
        <v>2910</v>
      </c>
      <c r="D735" s="186" t="s">
        <v>376</v>
      </c>
      <c r="E735" s="187">
        <v>707</v>
      </c>
      <c r="F735" s="170">
        <v>706.14</v>
      </c>
      <c r="G735" s="171">
        <f t="shared" si="17"/>
        <v>99.878359264497874</v>
      </c>
    </row>
    <row r="736" spans="1:7">
      <c r="A736" s="889"/>
      <c r="B736" s="868"/>
      <c r="C736" s="151">
        <v>3119</v>
      </c>
      <c r="D736" s="212" t="s">
        <v>201</v>
      </c>
      <c r="E736" s="187">
        <v>37517</v>
      </c>
      <c r="F736" s="170">
        <v>37517</v>
      </c>
      <c r="G736" s="171">
        <f t="shared" si="17"/>
        <v>100</v>
      </c>
    </row>
    <row r="737" spans="1:7">
      <c r="A737" s="889"/>
      <c r="B737" s="868"/>
      <c r="C737" s="151">
        <v>4018</v>
      </c>
      <c r="D737" s="127" t="s">
        <v>167</v>
      </c>
      <c r="E737" s="187">
        <v>31732</v>
      </c>
      <c r="F737" s="170">
        <v>31677.26</v>
      </c>
      <c r="G737" s="171">
        <f t="shared" si="17"/>
        <v>99.827492751796299</v>
      </c>
    </row>
    <row r="738" spans="1:7">
      <c r="A738" s="889"/>
      <c r="B738" s="868"/>
      <c r="C738" s="151">
        <v>4019</v>
      </c>
      <c r="D738" s="127" t="s">
        <v>167</v>
      </c>
      <c r="E738" s="187">
        <v>1866</v>
      </c>
      <c r="F738" s="170">
        <v>1864.95</v>
      </c>
      <c r="G738" s="171">
        <f t="shared" si="17"/>
        <v>99.943729903536976</v>
      </c>
    </row>
    <row r="739" spans="1:7">
      <c r="A739" s="889"/>
      <c r="B739" s="868"/>
      <c r="C739" s="151">
        <v>4118</v>
      </c>
      <c r="D739" s="127" t="s">
        <v>169</v>
      </c>
      <c r="E739" s="187">
        <v>15413</v>
      </c>
      <c r="F739" s="170">
        <v>14551.82</v>
      </c>
      <c r="G739" s="171">
        <f t="shared" si="17"/>
        <v>94.412638681632387</v>
      </c>
    </row>
    <row r="740" spans="1:7">
      <c r="A740" s="889"/>
      <c r="B740" s="868"/>
      <c r="C740" s="151">
        <v>4119</v>
      </c>
      <c r="D740" s="127" t="s">
        <v>169</v>
      </c>
      <c r="E740" s="187">
        <v>908</v>
      </c>
      <c r="F740" s="170">
        <v>856.7</v>
      </c>
      <c r="G740" s="171">
        <f t="shared" si="17"/>
        <v>94.350220264317187</v>
      </c>
    </row>
    <row r="741" spans="1:7">
      <c r="A741" s="889"/>
      <c r="B741" s="868"/>
      <c r="C741" s="151">
        <v>4128</v>
      </c>
      <c r="D741" s="127" t="s">
        <v>191</v>
      </c>
      <c r="E741" s="187">
        <v>2312</v>
      </c>
      <c r="F741" s="170">
        <v>2260.29</v>
      </c>
      <c r="G741" s="171">
        <f t="shared" si="17"/>
        <v>97.76340830449827</v>
      </c>
    </row>
    <row r="742" spans="1:7">
      <c r="A742" s="889"/>
      <c r="B742" s="868"/>
      <c r="C742" s="151">
        <v>4129</v>
      </c>
      <c r="D742" s="127" t="s">
        <v>191</v>
      </c>
      <c r="E742" s="187">
        <v>137</v>
      </c>
      <c r="F742" s="170">
        <v>133.04</v>
      </c>
      <c r="G742" s="171">
        <f t="shared" si="17"/>
        <v>97.109489051094897</v>
      </c>
    </row>
    <row r="743" spans="1:7">
      <c r="A743" s="889"/>
      <c r="B743" s="868"/>
      <c r="C743" s="151">
        <v>4178</v>
      </c>
      <c r="D743" s="169" t="s">
        <v>170</v>
      </c>
      <c r="E743" s="187">
        <v>139051</v>
      </c>
      <c r="F743" s="170">
        <v>138782.71</v>
      </c>
      <c r="G743" s="171">
        <f t="shared" si="17"/>
        <v>99.807056403765529</v>
      </c>
    </row>
    <row r="744" spans="1:7">
      <c r="A744" s="889"/>
      <c r="B744" s="868"/>
      <c r="C744" s="151">
        <v>4179</v>
      </c>
      <c r="D744" s="169" t="s">
        <v>170</v>
      </c>
      <c r="E744" s="187">
        <v>8188</v>
      </c>
      <c r="F744" s="170">
        <v>8170.62</v>
      </c>
      <c r="G744" s="171">
        <f t="shared" si="17"/>
        <v>99.78773815339521</v>
      </c>
    </row>
    <row r="745" spans="1:7">
      <c r="A745" s="889"/>
      <c r="B745" s="868"/>
      <c r="C745" s="151">
        <v>4218</v>
      </c>
      <c r="D745" s="127" t="s">
        <v>171</v>
      </c>
      <c r="E745" s="187">
        <v>25280</v>
      </c>
      <c r="F745" s="170">
        <v>24737.97</v>
      </c>
      <c r="G745" s="171">
        <f t="shared" si="17"/>
        <v>97.855893987341773</v>
      </c>
    </row>
    <row r="746" spans="1:7">
      <c r="A746" s="889"/>
      <c r="B746" s="868"/>
      <c r="C746" s="151">
        <v>4219</v>
      </c>
      <c r="D746" s="127" t="s">
        <v>171</v>
      </c>
      <c r="E746" s="187">
        <v>1484</v>
      </c>
      <c r="F746" s="170">
        <v>1456.41</v>
      </c>
      <c r="G746" s="171">
        <f t="shared" si="17"/>
        <v>98.140835579514828</v>
      </c>
    </row>
    <row r="747" spans="1:7">
      <c r="A747" s="889"/>
      <c r="B747" s="868"/>
      <c r="C747" s="151">
        <v>4308</v>
      </c>
      <c r="D747" s="127" t="s">
        <v>161</v>
      </c>
      <c r="E747" s="187">
        <v>99879</v>
      </c>
      <c r="F747" s="170">
        <v>99878.7</v>
      </c>
      <c r="G747" s="171">
        <f t="shared" si="17"/>
        <v>99.999699636560237</v>
      </c>
    </row>
    <row r="748" spans="1:7">
      <c r="A748" s="889"/>
      <c r="B748" s="868"/>
      <c r="C748" s="151">
        <v>4309</v>
      </c>
      <c r="D748" s="127" t="s">
        <v>161</v>
      </c>
      <c r="E748" s="187">
        <v>5881</v>
      </c>
      <c r="F748" s="170">
        <v>5880.14</v>
      </c>
      <c r="G748" s="171">
        <f t="shared" si="17"/>
        <v>99.985376636626427</v>
      </c>
    </row>
    <row r="749" spans="1:7">
      <c r="A749" s="889"/>
      <c r="B749" s="868"/>
      <c r="C749" s="151">
        <v>4418</v>
      </c>
      <c r="D749" s="127" t="s">
        <v>176</v>
      </c>
      <c r="E749" s="187">
        <v>806.82</v>
      </c>
      <c r="F749" s="170">
        <v>0</v>
      </c>
      <c r="G749" s="171">
        <f t="shared" si="17"/>
        <v>0</v>
      </c>
    </row>
    <row r="750" spans="1:7">
      <c r="A750" s="889"/>
      <c r="B750" s="868"/>
      <c r="C750" s="151">
        <v>4419</v>
      </c>
      <c r="D750" s="127" t="s">
        <v>176</v>
      </c>
      <c r="E750" s="187">
        <v>32.18</v>
      </c>
      <c r="F750" s="170">
        <v>0</v>
      </c>
      <c r="G750" s="171">
        <f t="shared" si="17"/>
        <v>0</v>
      </c>
    </row>
    <row r="751" spans="1:7">
      <c r="A751" s="889"/>
      <c r="B751" s="868"/>
      <c r="C751" s="151">
        <v>4448</v>
      </c>
      <c r="D751" s="127" t="s">
        <v>363</v>
      </c>
      <c r="E751" s="187">
        <v>1890</v>
      </c>
      <c r="F751" s="170">
        <v>1889.74</v>
      </c>
      <c r="G751" s="171">
        <f t="shared" si="17"/>
        <v>99.986243386243387</v>
      </c>
    </row>
    <row r="752" spans="1:7">
      <c r="A752" s="889"/>
      <c r="B752" s="868"/>
      <c r="C752" s="151">
        <v>4449</v>
      </c>
      <c r="D752" s="127" t="s">
        <v>363</v>
      </c>
      <c r="E752" s="187">
        <v>112</v>
      </c>
      <c r="F752" s="170">
        <v>111.26</v>
      </c>
      <c r="G752" s="171">
        <f t="shared" si="17"/>
        <v>99.339285714285708</v>
      </c>
    </row>
    <row r="753" spans="1:7" ht="22.5">
      <c r="A753" s="889"/>
      <c r="B753" s="868"/>
      <c r="C753" s="151">
        <v>4758</v>
      </c>
      <c r="D753" s="173" t="s">
        <v>367</v>
      </c>
      <c r="E753" s="187">
        <v>2531</v>
      </c>
      <c r="F753" s="170">
        <v>2528.9899999999998</v>
      </c>
      <c r="G753" s="171">
        <f t="shared" si="17"/>
        <v>99.920584749111015</v>
      </c>
    </row>
    <row r="754" spans="1:7" ht="22.5">
      <c r="A754" s="889"/>
      <c r="B754" s="868"/>
      <c r="C754" s="151">
        <v>4759</v>
      </c>
      <c r="D754" s="173" t="s">
        <v>367</v>
      </c>
      <c r="E754" s="187">
        <v>150</v>
      </c>
      <c r="F754" s="170">
        <v>148.88999999999999</v>
      </c>
      <c r="G754" s="171">
        <f t="shared" si="17"/>
        <v>99.259999999999991</v>
      </c>
    </row>
    <row r="755" spans="1:7">
      <c r="A755" s="889"/>
      <c r="B755" s="868"/>
      <c r="C755" s="151"/>
      <c r="D755" s="184" t="s">
        <v>203</v>
      </c>
      <c r="E755" s="182">
        <f>SUM(E756:E760)</f>
        <v>86787</v>
      </c>
      <c r="F755" s="167">
        <f>SUM(F756:F760)</f>
        <v>86742.67</v>
      </c>
      <c r="G755" s="168">
        <f t="shared" si="17"/>
        <v>99.948920921336139</v>
      </c>
    </row>
    <row r="756" spans="1:7">
      <c r="A756" s="889"/>
      <c r="B756" s="868"/>
      <c r="C756" s="151">
        <v>4018</v>
      </c>
      <c r="D756" s="127" t="s">
        <v>167</v>
      </c>
      <c r="E756" s="187">
        <v>67810.87</v>
      </c>
      <c r="F756" s="170">
        <v>67766.539999999994</v>
      </c>
      <c r="G756" s="171">
        <f t="shared" si="17"/>
        <v>99.934627000066499</v>
      </c>
    </row>
    <row r="757" spans="1:7">
      <c r="A757" s="889"/>
      <c r="B757" s="868"/>
      <c r="C757" s="461">
        <v>4048</v>
      </c>
      <c r="D757" s="76" t="s">
        <v>168</v>
      </c>
      <c r="E757" s="187">
        <v>3968.85</v>
      </c>
      <c r="F757" s="170">
        <v>3968.85</v>
      </c>
      <c r="G757" s="171">
        <f t="shared" si="17"/>
        <v>100</v>
      </c>
    </row>
    <row r="758" spans="1:7">
      <c r="A758" s="889"/>
      <c r="B758" s="868"/>
      <c r="C758" s="151">
        <v>4118</v>
      </c>
      <c r="D758" s="127" t="s">
        <v>169</v>
      </c>
      <c r="E758" s="187">
        <v>10330.98</v>
      </c>
      <c r="F758" s="170">
        <v>10330.98</v>
      </c>
      <c r="G758" s="171">
        <f t="shared" si="17"/>
        <v>100</v>
      </c>
    </row>
    <row r="759" spans="1:7">
      <c r="A759" s="889"/>
      <c r="B759" s="868"/>
      <c r="C759" s="151">
        <v>4128</v>
      </c>
      <c r="D759" s="127" t="s">
        <v>191</v>
      </c>
      <c r="E759" s="187">
        <v>1676.3</v>
      </c>
      <c r="F759" s="170">
        <v>1676.3</v>
      </c>
      <c r="G759" s="171">
        <f t="shared" si="17"/>
        <v>100</v>
      </c>
    </row>
    <row r="760" spans="1:7">
      <c r="A760" s="889"/>
      <c r="B760" s="868"/>
      <c r="C760" s="151">
        <v>4448</v>
      </c>
      <c r="D760" s="127" t="s">
        <v>363</v>
      </c>
      <c r="E760" s="187">
        <v>3000</v>
      </c>
      <c r="F760" s="170">
        <v>3000</v>
      </c>
      <c r="G760" s="171">
        <f t="shared" si="17"/>
        <v>100</v>
      </c>
    </row>
    <row r="761" spans="1:7">
      <c r="A761" s="889"/>
      <c r="B761" s="868"/>
      <c r="C761" s="151"/>
      <c r="D761" s="184" t="s">
        <v>193</v>
      </c>
      <c r="E761" s="182">
        <f>SUM(E762:E778)</f>
        <v>678008.79999999993</v>
      </c>
      <c r="F761" s="167">
        <f>SUM(F762:F778)</f>
        <v>665528.13</v>
      </c>
      <c r="G761" s="168">
        <f t="shared" si="17"/>
        <v>98.159217107506578</v>
      </c>
    </row>
    <row r="762" spans="1:7" ht="34.5" customHeight="1">
      <c r="A762" s="889"/>
      <c r="B762" s="868"/>
      <c r="C762" s="151">
        <v>2318</v>
      </c>
      <c r="D762" s="253" t="s">
        <v>437</v>
      </c>
      <c r="E762" s="187">
        <v>526152.23</v>
      </c>
      <c r="F762" s="170">
        <v>526149.57999999996</v>
      </c>
      <c r="G762" s="171">
        <f t="shared" si="17"/>
        <v>99.999496343482178</v>
      </c>
    </row>
    <row r="763" spans="1:7" ht="33.75" customHeight="1">
      <c r="A763" s="889"/>
      <c r="B763" s="868"/>
      <c r="C763" s="151">
        <v>2319</v>
      </c>
      <c r="D763" s="253" t="s">
        <v>437</v>
      </c>
      <c r="E763" s="187">
        <v>30949.57</v>
      </c>
      <c r="F763" s="170">
        <v>30949.1</v>
      </c>
      <c r="G763" s="171">
        <f t="shared" si="17"/>
        <v>99.998481400549352</v>
      </c>
    </row>
    <row r="764" spans="1:7" ht="33.75" customHeight="1">
      <c r="A764" s="889"/>
      <c r="B764" s="868"/>
      <c r="C764" s="461">
        <v>2910</v>
      </c>
      <c r="D764" s="76" t="s">
        <v>376</v>
      </c>
      <c r="E764" s="187">
        <v>614</v>
      </c>
      <c r="F764" s="170">
        <v>613.04999999999995</v>
      </c>
      <c r="G764" s="171">
        <f t="shared" si="17"/>
        <v>99.845276872964163</v>
      </c>
    </row>
    <row r="765" spans="1:7">
      <c r="A765" s="889"/>
      <c r="B765" s="868"/>
      <c r="C765" s="151">
        <v>4010</v>
      </c>
      <c r="D765" s="127" t="s">
        <v>167</v>
      </c>
      <c r="E765" s="187">
        <v>40000</v>
      </c>
      <c r="F765" s="170">
        <v>38835.160000000003</v>
      </c>
      <c r="G765" s="171">
        <f t="shared" si="17"/>
        <v>97.087900000000005</v>
      </c>
    </row>
    <row r="766" spans="1:7">
      <c r="A766" s="889"/>
      <c r="B766" s="868"/>
      <c r="C766" s="461">
        <v>4040</v>
      </c>
      <c r="D766" s="76" t="s">
        <v>168</v>
      </c>
      <c r="E766" s="187">
        <v>2819</v>
      </c>
      <c r="F766" s="170">
        <v>2818.5</v>
      </c>
      <c r="G766" s="171">
        <f t="shared" si="17"/>
        <v>99.98226321390564</v>
      </c>
    </row>
    <row r="767" spans="1:7">
      <c r="A767" s="889"/>
      <c r="B767" s="868"/>
      <c r="C767" s="151">
        <v>4110</v>
      </c>
      <c r="D767" s="127" t="s">
        <v>169</v>
      </c>
      <c r="E767" s="187">
        <v>8046</v>
      </c>
      <c r="F767" s="170">
        <v>8045.29</v>
      </c>
      <c r="G767" s="171">
        <f t="shared" si="17"/>
        <v>99.991175739497891</v>
      </c>
    </row>
    <row r="768" spans="1:7">
      <c r="A768" s="889"/>
      <c r="B768" s="868"/>
      <c r="C768" s="151">
        <v>4120</v>
      </c>
      <c r="D768" s="127" t="s">
        <v>191</v>
      </c>
      <c r="E768" s="187">
        <v>1208</v>
      </c>
      <c r="F768" s="170">
        <v>1207.17</v>
      </c>
      <c r="G768" s="171">
        <f t="shared" si="17"/>
        <v>99.931291390728475</v>
      </c>
    </row>
    <row r="769" spans="1:7">
      <c r="A769" s="889"/>
      <c r="B769" s="868"/>
      <c r="C769" s="151">
        <v>4170</v>
      </c>
      <c r="D769" s="169" t="s">
        <v>170</v>
      </c>
      <c r="E769" s="187">
        <v>24860</v>
      </c>
      <c r="F769" s="170">
        <v>23671</v>
      </c>
      <c r="G769" s="171">
        <f t="shared" si="17"/>
        <v>95.217216411906676</v>
      </c>
    </row>
    <row r="770" spans="1:7">
      <c r="A770" s="889"/>
      <c r="B770" s="868"/>
      <c r="C770" s="151">
        <v>4210</v>
      </c>
      <c r="D770" s="127" t="s">
        <v>171</v>
      </c>
      <c r="E770" s="187">
        <v>15685</v>
      </c>
      <c r="F770" s="170">
        <v>13668.39</v>
      </c>
      <c r="G770" s="171">
        <f t="shared" si="17"/>
        <v>87.143066624163211</v>
      </c>
    </row>
    <row r="771" spans="1:7">
      <c r="A771" s="889"/>
      <c r="B771" s="868"/>
      <c r="C771" s="151">
        <v>4260</v>
      </c>
      <c r="D771" s="127" t="s">
        <v>172</v>
      </c>
      <c r="E771" s="187">
        <v>8000</v>
      </c>
      <c r="F771" s="170">
        <v>4341.07</v>
      </c>
      <c r="G771" s="171">
        <f t="shared" si="17"/>
        <v>54.263375000000003</v>
      </c>
    </row>
    <row r="772" spans="1:7">
      <c r="A772" s="889"/>
      <c r="B772" s="868"/>
      <c r="C772" s="151">
        <v>4270</v>
      </c>
      <c r="D772" s="127" t="s">
        <v>173</v>
      </c>
      <c r="E772" s="187">
        <v>172</v>
      </c>
      <c r="F772" s="170">
        <v>172</v>
      </c>
      <c r="G772" s="171">
        <f t="shared" si="17"/>
        <v>100</v>
      </c>
    </row>
    <row r="773" spans="1:7">
      <c r="A773" s="889"/>
      <c r="B773" s="868"/>
      <c r="C773" s="151">
        <v>4300</v>
      </c>
      <c r="D773" s="127" t="s">
        <v>161</v>
      </c>
      <c r="E773" s="187">
        <v>11414</v>
      </c>
      <c r="F773" s="170">
        <v>8300.1299999999992</v>
      </c>
      <c r="G773" s="171">
        <f t="shared" si="17"/>
        <v>72.718854038899593</v>
      </c>
    </row>
    <row r="774" spans="1:7" ht="22.5">
      <c r="A774" s="889"/>
      <c r="B774" s="868"/>
      <c r="C774" s="151">
        <v>4370</v>
      </c>
      <c r="D774" s="173" t="s">
        <v>362</v>
      </c>
      <c r="E774" s="187">
        <v>2400</v>
      </c>
      <c r="F774" s="170">
        <v>1362.33</v>
      </c>
      <c r="G774" s="171">
        <f t="shared" si="17"/>
        <v>56.763750000000002</v>
      </c>
    </row>
    <row r="775" spans="1:7">
      <c r="A775" s="889"/>
      <c r="B775" s="868"/>
      <c r="C775" s="151">
        <v>4410</v>
      </c>
      <c r="D775" s="127" t="s">
        <v>176</v>
      </c>
      <c r="E775" s="187">
        <v>1000</v>
      </c>
      <c r="F775" s="170">
        <v>916.62</v>
      </c>
      <c r="G775" s="171">
        <f t="shared" si="17"/>
        <v>91.662000000000006</v>
      </c>
    </row>
    <row r="776" spans="1:7">
      <c r="A776" s="889"/>
      <c r="B776" s="868"/>
      <c r="C776" s="461">
        <v>4440</v>
      </c>
      <c r="D776" s="127" t="s">
        <v>363</v>
      </c>
      <c r="E776" s="187">
        <v>2001</v>
      </c>
      <c r="F776" s="170">
        <v>2000.08</v>
      </c>
      <c r="G776" s="171">
        <f t="shared" si="17"/>
        <v>99.954022988505741</v>
      </c>
    </row>
    <row r="777" spans="1:7" ht="22.5">
      <c r="A777" s="889"/>
      <c r="B777" s="868"/>
      <c r="C777" s="151">
        <v>4740</v>
      </c>
      <c r="D777" s="173" t="s">
        <v>366</v>
      </c>
      <c r="E777" s="187">
        <v>288</v>
      </c>
      <c r="F777" s="170">
        <v>252.16</v>
      </c>
      <c r="G777" s="171">
        <f t="shared" si="17"/>
        <v>87.555555555555557</v>
      </c>
    </row>
    <row r="778" spans="1:7" ht="22.5">
      <c r="A778" s="878"/>
      <c r="B778" s="869"/>
      <c r="C778" s="151">
        <v>4750</v>
      </c>
      <c r="D778" s="173" t="s">
        <v>367</v>
      </c>
      <c r="E778" s="187">
        <v>2400</v>
      </c>
      <c r="F778" s="170">
        <v>2226.5</v>
      </c>
      <c r="G778" s="171">
        <f t="shared" si="17"/>
        <v>92.770833333333329</v>
      </c>
    </row>
    <row r="779" spans="1:7">
      <c r="A779" s="161">
        <v>854</v>
      </c>
      <c r="B779" s="161"/>
      <c r="C779" s="161"/>
      <c r="D779" s="189" t="s">
        <v>105</v>
      </c>
      <c r="E779" s="206">
        <f>E780+E802+E824+E895+E871+E852+E869</f>
        <v>4430068</v>
      </c>
      <c r="F779" s="206">
        <f>F780+F802+F824+F895+F871+F852+F869</f>
        <v>4388355.99</v>
      </c>
      <c r="G779" s="164">
        <f t="shared" si="17"/>
        <v>99.05843409175661</v>
      </c>
    </row>
    <row r="780" spans="1:7" ht="21.75">
      <c r="A780" s="744"/>
      <c r="B780" s="165">
        <v>85406</v>
      </c>
      <c r="C780" s="165"/>
      <c r="D780" s="192" t="s">
        <v>106</v>
      </c>
      <c r="E780" s="182">
        <f>SUM(E781:E801)</f>
        <v>755087</v>
      </c>
      <c r="F780" s="167">
        <f>+SUM(F781:F801)</f>
        <v>754818.87000000023</v>
      </c>
      <c r="G780" s="171">
        <f t="shared" si="17"/>
        <v>99.9644901845748</v>
      </c>
    </row>
    <row r="781" spans="1:7">
      <c r="A781" s="744"/>
      <c r="B781" s="867"/>
      <c r="C781" s="461">
        <v>3020</v>
      </c>
      <c r="D781" s="214" t="s">
        <v>166</v>
      </c>
      <c r="E781" s="187">
        <v>75</v>
      </c>
      <c r="F781" s="170">
        <v>75</v>
      </c>
      <c r="G781" s="171">
        <f t="shared" si="17"/>
        <v>100</v>
      </c>
    </row>
    <row r="782" spans="1:7">
      <c r="A782" s="744"/>
      <c r="B782" s="868"/>
      <c r="C782" s="151">
        <v>4010</v>
      </c>
      <c r="D782" s="127" t="s">
        <v>167</v>
      </c>
      <c r="E782" s="187">
        <v>515407</v>
      </c>
      <c r="F782" s="170">
        <v>515407</v>
      </c>
      <c r="G782" s="171">
        <f t="shared" si="17"/>
        <v>100</v>
      </c>
    </row>
    <row r="783" spans="1:7">
      <c r="A783" s="744"/>
      <c r="B783" s="868"/>
      <c r="C783" s="151">
        <v>4040</v>
      </c>
      <c r="D783" s="127" t="s">
        <v>168</v>
      </c>
      <c r="E783" s="187">
        <v>34016</v>
      </c>
      <c r="F783" s="170">
        <v>34015.300000000003</v>
      </c>
      <c r="G783" s="171">
        <f t="shared" si="17"/>
        <v>99.997942144873008</v>
      </c>
    </row>
    <row r="784" spans="1:7">
      <c r="A784" s="744"/>
      <c r="B784" s="868"/>
      <c r="C784" s="151">
        <v>4110</v>
      </c>
      <c r="D784" s="127" t="s">
        <v>169</v>
      </c>
      <c r="E784" s="187">
        <v>79366</v>
      </c>
      <c r="F784" s="170">
        <v>79366</v>
      </c>
      <c r="G784" s="171">
        <f t="shared" si="17"/>
        <v>100</v>
      </c>
    </row>
    <row r="785" spans="1:7">
      <c r="A785" s="744"/>
      <c r="B785" s="868"/>
      <c r="C785" s="151">
        <v>4120</v>
      </c>
      <c r="D785" s="127" t="s">
        <v>191</v>
      </c>
      <c r="E785" s="187">
        <v>12464</v>
      </c>
      <c r="F785" s="170">
        <v>12464</v>
      </c>
      <c r="G785" s="171">
        <f t="shared" si="17"/>
        <v>100</v>
      </c>
    </row>
    <row r="786" spans="1:7">
      <c r="A786" s="744"/>
      <c r="B786" s="868"/>
      <c r="C786" s="151">
        <v>4170</v>
      </c>
      <c r="D786" s="169" t="s">
        <v>170</v>
      </c>
      <c r="E786" s="187">
        <v>8010</v>
      </c>
      <c r="F786" s="170">
        <v>8001.5</v>
      </c>
      <c r="G786" s="171">
        <f t="shared" si="17"/>
        <v>99.893882646691637</v>
      </c>
    </row>
    <row r="787" spans="1:7">
      <c r="A787" s="744"/>
      <c r="B787" s="868"/>
      <c r="C787" s="151">
        <v>4210</v>
      </c>
      <c r="D787" s="127" t="s">
        <v>171</v>
      </c>
      <c r="E787" s="187">
        <v>14804</v>
      </c>
      <c r="F787" s="170">
        <v>14803.92</v>
      </c>
      <c r="G787" s="171">
        <f t="shared" si="17"/>
        <v>99.99945960551203</v>
      </c>
    </row>
    <row r="788" spans="1:7">
      <c r="A788" s="744"/>
      <c r="B788" s="868"/>
      <c r="C788" s="151">
        <v>4240</v>
      </c>
      <c r="D788" s="127" t="s">
        <v>357</v>
      </c>
      <c r="E788" s="187">
        <v>860</v>
      </c>
      <c r="F788" s="170">
        <v>860</v>
      </c>
      <c r="G788" s="171">
        <f t="shared" si="17"/>
        <v>100</v>
      </c>
    </row>
    <row r="789" spans="1:7">
      <c r="A789" s="744"/>
      <c r="B789" s="868"/>
      <c r="C789" s="151">
        <v>4260</v>
      </c>
      <c r="D789" s="127" t="s">
        <v>172</v>
      </c>
      <c r="E789" s="187">
        <v>23541</v>
      </c>
      <c r="F789" s="170">
        <v>23484.17</v>
      </c>
      <c r="G789" s="171">
        <f t="shared" si="17"/>
        <v>99.758591393738584</v>
      </c>
    </row>
    <row r="790" spans="1:7">
      <c r="A790" s="744"/>
      <c r="B790" s="868"/>
      <c r="C790" s="151">
        <v>4270</v>
      </c>
      <c r="D790" s="127" t="s">
        <v>173</v>
      </c>
      <c r="E790" s="187">
        <v>3183</v>
      </c>
      <c r="F790" s="170">
        <v>3182.9</v>
      </c>
      <c r="G790" s="171">
        <f t="shared" si="17"/>
        <v>99.996858309770658</v>
      </c>
    </row>
    <row r="791" spans="1:7">
      <c r="A791" s="744"/>
      <c r="B791" s="868"/>
      <c r="C791" s="151">
        <v>4280</v>
      </c>
      <c r="D791" s="127" t="s">
        <v>174</v>
      </c>
      <c r="E791" s="187">
        <v>568</v>
      </c>
      <c r="F791" s="170">
        <v>564</v>
      </c>
      <c r="G791" s="171">
        <f t="shared" si="17"/>
        <v>99.295774647887328</v>
      </c>
    </row>
    <row r="792" spans="1:7">
      <c r="A792" s="744"/>
      <c r="B792" s="868"/>
      <c r="C792" s="151">
        <v>4300</v>
      </c>
      <c r="D792" s="127" t="s">
        <v>161</v>
      </c>
      <c r="E792" s="187">
        <v>8104</v>
      </c>
      <c r="F792" s="170">
        <v>8100.69</v>
      </c>
      <c r="G792" s="171">
        <f t="shared" si="17"/>
        <v>99.959155972359326</v>
      </c>
    </row>
    <row r="793" spans="1:7">
      <c r="A793" s="744"/>
      <c r="B793" s="868"/>
      <c r="C793" s="151">
        <v>4350</v>
      </c>
      <c r="D793" s="169" t="s">
        <v>175</v>
      </c>
      <c r="E793" s="187">
        <v>607</v>
      </c>
      <c r="F793" s="170">
        <v>598.79999999999995</v>
      </c>
      <c r="G793" s="171">
        <f t="shared" si="17"/>
        <v>98.649093904448094</v>
      </c>
    </row>
    <row r="794" spans="1:7" ht="22.5">
      <c r="A794" s="744"/>
      <c r="B794" s="868"/>
      <c r="C794" s="151">
        <v>4360</v>
      </c>
      <c r="D794" s="173" t="s">
        <v>361</v>
      </c>
      <c r="E794" s="187">
        <v>918</v>
      </c>
      <c r="F794" s="170">
        <v>917.53</v>
      </c>
      <c r="G794" s="171">
        <f t="shared" si="17"/>
        <v>99.948801742919386</v>
      </c>
    </row>
    <row r="795" spans="1:7" ht="22.5">
      <c r="A795" s="744"/>
      <c r="B795" s="868"/>
      <c r="C795" s="151">
        <v>4370</v>
      </c>
      <c r="D795" s="173" t="s">
        <v>362</v>
      </c>
      <c r="E795" s="187">
        <v>2650</v>
      </c>
      <c r="F795" s="170">
        <v>2472.5700000000002</v>
      </c>
      <c r="G795" s="171">
        <f t="shared" si="17"/>
        <v>93.304528301886805</v>
      </c>
    </row>
    <row r="796" spans="1:7">
      <c r="A796" s="744"/>
      <c r="B796" s="868"/>
      <c r="C796" s="151">
        <v>4410</v>
      </c>
      <c r="D796" s="127" t="s">
        <v>176</v>
      </c>
      <c r="E796" s="187">
        <v>1155</v>
      </c>
      <c r="F796" s="170">
        <v>1154.3800000000001</v>
      </c>
      <c r="G796" s="171">
        <f t="shared" si="17"/>
        <v>99.946320346320363</v>
      </c>
    </row>
    <row r="797" spans="1:7">
      <c r="A797" s="744"/>
      <c r="B797" s="868"/>
      <c r="C797" s="151">
        <v>4440</v>
      </c>
      <c r="D797" s="127" t="s">
        <v>363</v>
      </c>
      <c r="E797" s="187">
        <v>42653</v>
      </c>
      <c r="F797" s="170">
        <v>42652.28</v>
      </c>
      <c r="G797" s="171">
        <f t="shared" ref="G797:G852" si="18">F797*100/E797</f>
        <v>99.998311959299457</v>
      </c>
    </row>
    <row r="798" spans="1:7">
      <c r="A798" s="744"/>
      <c r="B798" s="868"/>
      <c r="C798" s="461">
        <v>4580</v>
      </c>
      <c r="D798" s="216" t="s">
        <v>43</v>
      </c>
      <c r="E798" s="187">
        <v>11</v>
      </c>
      <c r="F798" s="170">
        <v>11</v>
      </c>
      <c r="G798" s="171">
        <f t="shared" si="18"/>
        <v>100</v>
      </c>
    </row>
    <row r="799" spans="1:7" ht="22.5">
      <c r="A799" s="744"/>
      <c r="B799" s="868"/>
      <c r="C799" s="151">
        <v>4700</v>
      </c>
      <c r="D799" s="186" t="s">
        <v>365</v>
      </c>
      <c r="E799" s="187">
        <v>1467</v>
      </c>
      <c r="F799" s="170">
        <v>1466.78</v>
      </c>
      <c r="G799" s="171">
        <f t="shared" si="18"/>
        <v>99.985003408316288</v>
      </c>
    </row>
    <row r="800" spans="1:7" ht="22.5">
      <c r="A800" s="744"/>
      <c r="B800" s="868"/>
      <c r="C800" s="151">
        <v>4740</v>
      </c>
      <c r="D800" s="173" t="s">
        <v>366</v>
      </c>
      <c r="E800" s="187">
        <v>1259</v>
      </c>
      <c r="F800" s="170">
        <v>1252.5</v>
      </c>
      <c r="G800" s="171">
        <f t="shared" si="18"/>
        <v>99.483717235901509</v>
      </c>
    </row>
    <row r="801" spans="1:7" ht="22.5">
      <c r="A801" s="744"/>
      <c r="B801" s="869"/>
      <c r="C801" s="151">
        <v>4750</v>
      </c>
      <c r="D801" s="173" t="s">
        <v>367</v>
      </c>
      <c r="E801" s="187">
        <v>3969</v>
      </c>
      <c r="F801" s="170">
        <v>3968.55</v>
      </c>
      <c r="G801" s="171">
        <f t="shared" si="18"/>
        <v>99.988662131519277</v>
      </c>
    </row>
    <row r="802" spans="1:7">
      <c r="A802" s="744"/>
      <c r="B802" s="165">
        <v>85407</v>
      </c>
      <c r="C802" s="165"/>
      <c r="D802" s="185" t="s">
        <v>107</v>
      </c>
      <c r="E802" s="182">
        <f>E803+E822</f>
        <v>570746</v>
      </c>
      <c r="F802" s="182">
        <f>F803+F822</f>
        <v>570745.73</v>
      </c>
      <c r="G802" s="168">
        <f t="shared" si="18"/>
        <v>99.999952693492375</v>
      </c>
    </row>
    <row r="803" spans="1:7">
      <c r="A803" s="744"/>
      <c r="B803" s="867"/>
      <c r="C803" s="465"/>
      <c r="D803" s="185" t="s">
        <v>515</v>
      </c>
      <c r="E803" s="182">
        <f>SUM(E804:E821)</f>
        <v>474999.99999999994</v>
      </c>
      <c r="F803" s="182">
        <f>SUM(F804:F821)</f>
        <v>474999.99999999994</v>
      </c>
      <c r="G803" s="171">
        <f t="shared" si="18"/>
        <v>100</v>
      </c>
    </row>
    <row r="804" spans="1:7">
      <c r="A804" s="744"/>
      <c r="B804" s="868"/>
      <c r="C804" s="151">
        <v>3020</v>
      </c>
      <c r="D804" s="169" t="s">
        <v>166</v>
      </c>
      <c r="E804" s="187">
        <v>940.3</v>
      </c>
      <c r="F804" s="170">
        <v>940.3</v>
      </c>
      <c r="G804" s="171">
        <f t="shared" si="18"/>
        <v>100</v>
      </c>
    </row>
    <row r="805" spans="1:7">
      <c r="A805" s="744"/>
      <c r="B805" s="868"/>
      <c r="C805" s="151">
        <v>4010</v>
      </c>
      <c r="D805" s="127" t="s">
        <v>167</v>
      </c>
      <c r="E805" s="187">
        <v>218240.93</v>
      </c>
      <c r="F805" s="170">
        <v>218240.93</v>
      </c>
      <c r="G805" s="171">
        <f t="shared" si="18"/>
        <v>100</v>
      </c>
    </row>
    <row r="806" spans="1:7">
      <c r="A806" s="744"/>
      <c r="B806" s="868"/>
      <c r="C806" s="151">
        <v>4040</v>
      </c>
      <c r="D806" s="127" t="s">
        <v>168</v>
      </c>
      <c r="E806" s="187">
        <v>13380.76</v>
      </c>
      <c r="F806" s="170">
        <v>13380.76</v>
      </c>
      <c r="G806" s="171">
        <f t="shared" si="18"/>
        <v>100</v>
      </c>
    </row>
    <row r="807" spans="1:7">
      <c r="A807" s="744"/>
      <c r="B807" s="868"/>
      <c r="C807" s="151">
        <v>4110</v>
      </c>
      <c r="D807" s="127" t="s">
        <v>169</v>
      </c>
      <c r="E807" s="187">
        <v>35605</v>
      </c>
      <c r="F807" s="170">
        <v>35605</v>
      </c>
      <c r="G807" s="171">
        <f t="shared" si="18"/>
        <v>100</v>
      </c>
    </row>
    <row r="808" spans="1:7">
      <c r="A808" s="744"/>
      <c r="B808" s="868"/>
      <c r="C808" s="151">
        <v>4120</v>
      </c>
      <c r="D808" s="127" t="s">
        <v>191</v>
      </c>
      <c r="E808" s="187">
        <v>4857.62</v>
      </c>
      <c r="F808" s="170">
        <v>4857.62</v>
      </c>
      <c r="G808" s="171">
        <f t="shared" si="18"/>
        <v>100</v>
      </c>
    </row>
    <row r="809" spans="1:7">
      <c r="A809" s="744"/>
      <c r="B809" s="868"/>
      <c r="C809" s="151">
        <v>4170</v>
      </c>
      <c r="D809" s="169" t="s">
        <v>170</v>
      </c>
      <c r="E809" s="187">
        <v>70510.48</v>
      </c>
      <c r="F809" s="170">
        <v>70510.48</v>
      </c>
      <c r="G809" s="171">
        <f t="shared" si="18"/>
        <v>100</v>
      </c>
    </row>
    <row r="810" spans="1:7">
      <c r="A810" s="744"/>
      <c r="B810" s="868"/>
      <c r="C810" s="151">
        <v>4210</v>
      </c>
      <c r="D810" s="127" t="s">
        <v>171</v>
      </c>
      <c r="E810" s="187">
        <v>11796.43</v>
      </c>
      <c r="F810" s="170">
        <v>11796.43</v>
      </c>
      <c r="G810" s="171">
        <f t="shared" si="18"/>
        <v>100</v>
      </c>
    </row>
    <row r="811" spans="1:7">
      <c r="A811" s="744"/>
      <c r="B811" s="868"/>
      <c r="C811" s="151">
        <v>4260</v>
      </c>
      <c r="D811" s="127" t="s">
        <v>172</v>
      </c>
      <c r="E811" s="187">
        <v>20500.13</v>
      </c>
      <c r="F811" s="170">
        <v>20500.13</v>
      </c>
      <c r="G811" s="171">
        <f t="shared" si="18"/>
        <v>100</v>
      </c>
    </row>
    <row r="812" spans="1:7">
      <c r="A812" s="744"/>
      <c r="B812" s="868"/>
      <c r="C812" s="151">
        <v>4270</v>
      </c>
      <c r="D812" s="127" t="s">
        <v>173</v>
      </c>
      <c r="E812" s="187">
        <v>63960.09</v>
      </c>
      <c r="F812" s="170">
        <v>63960.09</v>
      </c>
      <c r="G812" s="171">
        <f t="shared" si="18"/>
        <v>100</v>
      </c>
    </row>
    <row r="813" spans="1:7">
      <c r="A813" s="744"/>
      <c r="B813" s="868"/>
      <c r="C813" s="151">
        <v>4280</v>
      </c>
      <c r="D813" s="127" t="s">
        <v>174</v>
      </c>
      <c r="E813" s="187">
        <v>145</v>
      </c>
      <c r="F813" s="170">
        <v>145</v>
      </c>
      <c r="G813" s="171">
        <f t="shared" si="18"/>
        <v>100</v>
      </c>
    </row>
    <row r="814" spans="1:7">
      <c r="A814" s="744"/>
      <c r="B814" s="868"/>
      <c r="C814" s="151">
        <v>4300</v>
      </c>
      <c r="D814" s="127" t="s">
        <v>161</v>
      </c>
      <c r="E814" s="187">
        <v>10991.94</v>
      </c>
      <c r="F814" s="170">
        <v>10991.94</v>
      </c>
      <c r="G814" s="171">
        <f t="shared" si="18"/>
        <v>100</v>
      </c>
    </row>
    <row r="815" spans="1:7">
      <c r="A815" s="744"/>
      <c r="B815" s="868"/>
      <c r="C815" s="151">
        <v>4350</v>
      </c>
      <c r="D815" s="127" t="s">
        <v>175</v>
      </c>
      <c r="E815" s="187">
        <v>375.11</v>
      </c>
      <c r="F815" s="170">
        <v>375.11</v>
      </c>
      <c r="G815" s="171">
        <f t="shared" si="18"/>
        <v>100</v>
      </c>
    </row>
    <row r="816" spans="1:7" ht="22.5">
      <c r="A816" s="744"/>
      <c r="B816" s="868"/>
      <c r="C816" s="151">
        <v>4370</v>
      </c>
      <c r="D816" s="173" t="s">
        <v>362</v>
      </c>
      <c r="E816" s="187">
        <v>1178.47</v>
      </c>
      <c r="F816" s="170">
        <v>1178.47</v>
      </c>
      <c r="G816" s="171">
        <f t="shared" si="18"/>
        <v>100</v>
      </c>
    </row>
    <row r="817" spans="1:7">
      <c r="A817" s="744"/>
      <c r="B817" s="868"/>
      <c r="C817" s="151">
        <v>4410</v>
      </c>
      <c r="D817" s="127" t="s">
        <v>176</v>
      </c>
      <c r="E817" s="187">
        <v>3284.74</v>
      </c>
      <c r="F817" s="170">
        <v>3284.74</v>
      </c>
      <c r="G817" s="171">
        <f t="shared" si="18"/>
        <v>100</v>
      </c>
    </row>
    <row r="818" spans="1:7">
      <c r="A818" s="744"/>
      <c r="B818" s="868"/>
      <c r="C818" s="151">
        <v>4440</v>
      </c>
      <c r="D818" s="127" t="s">
        <v>363</v>
      </c>
      <c r="E818" s="187">
        <v>15623</v>
      </c>
      <c r="F818" s="170">
        <v>15623</v>
      </c>
      <c r="G818" s="171">
        <f t="shared" si="18"/>
        <v>100</v>
      </c>
    </row>
    <row r="819" spans="1:7" ht="22.5">
      <c r="A819" s="744"/>
      <c r="B819" s="868"/>
      <c r="C819" s="151">
        <v>4700</v>
      </c>
      <c r="D819" s="186" t="s">
        <v>365</v>
      </c>
      <c r="E819" s="187">
        <v>515</v>
      </c>
      <c r="F819" s="170">
        <v>515</v>
      </c>
      <c r="G819" s="171">
        <f t="shared" si="18"/>
        <v>100</v>
      </c>
    </row>
    <row r="820" spans="1:7" ht="22.5">
      <c r="A820" s="744"/>
      <c r="B820" s="868"/>
      <c r="C820" s="151">
        <v>4740</v>
      </c>
      <c r="D820" s="173" t="s">
        <v>366</v>
      </c>
      <c r="E820" s="187">
        <v>412</v>
      </c>
      <c r="F820" s="170">
        <v>412</v>
      </c>
      <c r="G820" s="171">
        <f t="shared" si="18"/>
        <v>100</v>
      </c>
    </row>
    <row r="821" spans="1:7" ht="22.5">
      <c r="A821" s="744"/>
      <c r="B821" s="868"/>
      <c r="C821" s="151">
        <v>4750</v>
      </c>
      <c r="D821" s="173" t="s">
        <v>367</v>
      </c>
      <c r="E821" s="187">
        <v>2683</v>
      </c>
      <c r="F821" s="170">
        <v>2683</v>
      </c>
      <c r="G821" s="171">
        <f t="shared" si="18"/>
        <v>100</v>
      </c>
    </row>
    <row r="822" spans="1:7">
      <c r="A822" s="744"/>
      <c r="B822" s="868"/>
      <c r="C822" s="461"/>
      <c r="D822" s="166" t="s">
        <v>193</v>
      </c>
      <c r="E822" s="182">
        <f>E823</f>
        <v>95746</v>
      </c>
      <c r="F822" s="167">
        <f>F823</f>
        <v>95745.73</v>
      </c>
      <c r="G822" s="171">
        <f t="shared" si="18"/>
        <v>99.999718003885278</v>
      </c>
    </row>
    <row r="823" spans="1:7">
      <c r="A823" s="744"/>
      <c r="B823" s="869"/>
      <c r="C823" s="461">
        <v>6050</v>
      </c>
      <c r="D823" s="216" t="s">
        <v>165</v>
      </c>
      <c r="E823" s="187">
        <v>95746</v>
      </c>
      <c r="F823" s="170">
        <v>95745.73</v>
      </c>
      <c r="G823" s="171">
        <f t="shared" si="18"/>
        <v>99.999718003885278</v>
      </c>
    </row>
    <row r="824" spans="1:7">
      <c r="A824" s="744"/>
      <c r="B824" s="165">
        <v>85410</v>
      </c>
      <c r="C824" s="165"/>
      <c r="D824" s="185" t="s">
        <v>108</v>
      </c>
      <c r="E824" s="182">
        <f>E825+E839</f>
        <v>466857</v>
      </c>
      <c r="F824" s="167">
        <f>F825+F839</f>
        <v>466855.76999999996</v>
      </c>
      <c r="G824" s="168">
        <f t="shared" si="18"/>
        <v>99.999736536027072</v>
      </c>
    </row>
    <row r="825" spans="1:7">
      <c r="A825" s="744"/>
      <c r="B825" s="870"/>
      <c r="C825" s="176"/>
      <c r="D825" s="184" t="s">
        <v>205</v>
      </c>
      <c r="E825" s="230">
        <f>+SUM(E826:E838)</f>
        <v>117930</v>
      </c>
      <c r="F825" s="178">
        <f>+SUM(F826:F838)</f>
        <v>117928.40999999999</v>
      </c>
      <c r="G825" s="175">
        <f t="shared" si="18"/>
        <v>99.998651742559133</v>
      </c>
    </row>
    <row r="826" spans="1:7">
      <c r="A826" s="744"/>
      <c r="B826" s="871"/>
      <c r="C826" s="151">
        <v>4010</v>
      </c>
      <c r="D826" s="127" t="s">
        <v>167</v>
      </c>
      <c r="E826" s="187">
        <v>48873</v>
      </c>
      <c r="F826" s="170">
        <v>48873</v>
      </c>
      <c r="G826" s="171">
        <f t="shared" si="18"/>
        <v>100</v>
      </c>
    </row>
    <row r="827" spans="1:7">
      <c r="A827" s="744"/>
      <c r="B827" s="871"/>
      <c r="C827" s="151">
        <v>4040</v>
      </c>
      <c r="D827" s="127" t="s">
        <v>168</v>
      </c>
      <c r="E827" s="187">
        <v>5161</v>
      </c>
      <c r="F827" s="170">
        <v>5160.5600000000004</v>
      </c>
      <c r="G827" s="171">
        <f t="shared" si="18"/>
        <v>99.991474520441784</v>
      </c>
    </row>
    <row r="828" spans="1:7">
      <c r="A828" s="744"/>
      <c r="B828" s="871"/>
      <c r="C828" s="151">
        <v>4110</v>
      </c>
      <c r="D828" s="127" t="s">
        <v>169</v>
      </c>
      <c r="E828" s="187">
        <v>9440</v>
      </c>
      <c r="F828" s="170">
        <v>9440</v>
      </c>
      <c r="G828" s="171">
        <f t="shared" si="18"/>
        <v>100</v>
      </c>
    </row>
    <row r="829" spans="1:7">
      <c r="A829" s="744"/>
      <c r="B829" s="871"/>
      <c r="C829" s="151">
        <v>4120</v>
      </c>
      <c r="D829" s="127" t="s">
        <v>191</v>
      </c>
      <c r="E829" s="187">
        <v>1427</v>
      </c>
      <c r="F829" s="170">
        <v>1427</v>
      </c>
      <c r="G829" s="171">
        <f t="shared" si="18"/>
        <v>100</v>
      </c>
    </row>
    <row r="830" spans="1:7">
      <c r="A830" s="744"/>
      <c r="B830" s="871"/>
      <c r="C830" s="151">
        <v>4170</v>
      </c>
      <c r="D830" s="169" t="s">
        <v>170</v>
      </c>
      <c r="E830" s="187">
        <v>16628</v>
      </c>
      <c r="F830" s="170">
        <v>16627.060000000001</v>
      </c>
      <c r="G830" s="171">
        <f t="shared" si="18"/>
        <v>99.994346884772682</v>
      </c>
    </row>
    <row r="831" spans="1:7">
      <c r="A831" s="744"/>
      <c r="B831" s="871"/>
      <c r="C831" s="151">
        <v>4210</v>
      </c>
      <c r="D831" s="127" t="s">
        <v>171</v>
      </c>
      <c r="E831" s="187">
        <v>4746</v>
      </c>
      <c r="F831" s="170">
        <v>4746</v>
      </c>
      <c r="G831" s="171">
        <f t="shared" si="18"/>
        <v>100</v>
      </c>
    </row>
    <row r="832" spans="1:7">
      <c r="A832" s="744"/>
      <c r="B832" s="871"/>
      <c r="C832" s="151">
        <v>4220</v>
      </c>
      <c r="D832" s="127" t="s">
        <v>197</v>
      </c>
      <c r="E832" s="187">
        <v>1922</v>
      </c>
      <c r="F832" s="170">
        <v>1922</v>
      </c>
      <c r="G832" s="171">
        <f t="shared" si="18"/>
        <v>100</v>
      </c>
    </row>
    <row r="833" spans="1:7">
      <c r="A833" s="744"/>
      <c r="B833" s="871"/>
      <c r="C833" s="151">
        <v>4260</v>
      </c>
      <c r="D833" s="127" t="s">
        <v>172</v>
      </c>
      <c r="E833" s="187">
        <v>12208</v>
      </c>
      <c r="F833" s="170">
        <v>12208</v>
      </c>
      <c r="G833" s="171">
        <f t="shared" si="18"/>
        <v>100</v>
      </c>
    </row>
    <row r="834" spans="1:7">
      <c r="A834" s="744"/>
      <c r="B834" s="871"/>
      <c r="C834" s="151">
        <v>4270</v>
      </c>
      <c r="D834" s="127" t="s">
        <v>173</v>
      </c>
      <c r="E834" s="187">
        <v>2230</v>
      </c>
      <c r="F834" s="170">
        <v>2230</v>
      </c>
      <c r="G834" s="171">
        <f t="shared" si="18"/>
        <v>100</v>
      </c>
    </row>
    <row r="835" spans="1:7">
      <c r="A835" s="744"/>
      <c r="B835" s="871"/>
      <c r="C835" s="461">
        <v>4280</v>
      </c>
      <c r="D835" s="127" t="s">
        <v>174</v>
      </c>
      <c r="E835" s="187">
        <v>70</v>
      </c>
      <c r="F835" s="170">
        <v>70</v>
      </c>
      <c r="G835" s="171">
        <f t="shared" si="18"/>
        <v>100</v>
      </c>
    </row>
    <row r="836" spans="1:7">
      <c r="A836" s="744"/>
      <c r="B836" s="871"/>
      <c r="C836" s="151">
        <v>4300</v>
      </c>
      <c r="D836" s="127" t="s">
        <v>161</v>
      </c>
      <c r="E836" s="187">
        <v>2258</v>
      </c>
      <c r="F836" s="170">
        <v>2258</v>
      </c>
      <c r="G836" s="171">
        <f t="shared" si="18"/>
        <v>100</v>
      </c>
    </row>
    <row r="837" spans="1:7">
      <c r="A837" s="744"/>
      <c r="B837" s="871"/>
      <c r="C837" s="151">
        <v>4440</v>
      </c>
      <c r="D837" s="127" t="s">
        <v>363</v>
      </c>
      <c r="E837" s="187">
        <v>12308</v>
      </c>
      <c r="F837" s="170">
        <v>12308</v>
      </c>
      <c r="G837" s="171">
        <f t="shared" si="18"/>
        <v>100</v>
      </c>
    </row>
    <row r="838" spans="1:7">
      <c r="A838" s="744"/>
      <c r="B838" s="871"/>
      <c r="C838" s="151">
        <v>4530</v>
      </c>
      <c r="D838" s="169" t="s">
        <v>164</v>
      </c>
      <c r="E838" s="187">
        <v>659</v>
      </c>
      <c r="F838" s="170">
        <v>658.79</v>
      </c>
      <c r="G838" s="171">
        <f t="shared" si="18"/>
        <v>99.968133535660087</v>
      </c>
    </row>
    <row r="839" spans="1:7">
      <c r="A839" s="744"/>
      <c r="B839" s="871"/>
      <c r="C839" s="176"/>
      <c r="D839" s="184" t="s">
        <v>207</v>
      </c>
      <c r="E839" s="230">
        <f>+SUM(E840:E851)</f>
        <v>348927</v>
      </c>
      <c r="F839" s="230">
        <f>+SUM(F840:F851)</f>
        <v>348927.36</v>
      </c>
      <c r="G839" s="175">
        <f t="shared" si="18"/>
        <v>100.00010317344315</v>
      </c>
    </row>
    <row r="840" spans="1:7">
      <c r="A840" s="744"/>
      <c r="B840" s="871"/>
      <c r="C840" s="151">
        <v>3020</v>
      </c>
      <c r="D840" s="169" t="s">
        <v>166</v>
      </c>
      <c r="E840" s="187">
        <v>16175</v>
      </c>
      <c r="F840" s="170">
        <v>16174.71</v>
      </c>
      <c r="G840" s="171">
        <f t="shared" si="18"/>
        <v>99.998207109737251</v>
      </c>
    </row>
    <row r="841" spans="1:7">
      <c r="A841" s="744"/>
      <c r="B841" s="871"/>
      <c r="C841" s="151">
        <v>4010</v>
      </c>
      <c r="D841" s="127" t="s">
        <v>167</v>
      </c>
      <c r="E841" s="187">
        <v>149530</v>
      </c>
      <c r="F841" s="170">
        <v>149530</v>
      </c>
      <c r="G841" s="171">
        <f t="shared" si="18"/>
        <v>100</v>
      </c>
    </row>
    <row r="842" spans="1:7">
      <c r="A842" s="744"/>
      <c r="B842" s="871"/>
      <c r="C842" s="151">
        <v>4040</v>
      </c>
      <c r="D842" s="127" t="s">
        <v>168</v>
      </c>
      <c r="E842" s="187">
        <v>13173</v>
      </c>
      <c r="F842" s="170">
        <v>13173</v>
      </c>
      <c r="G842" s="171">
        <f t="shared" si="18"/>
        <v>100</v>
      </c>
    </row>
    <row r="843" spans="1:7">
      <c r="A843" s="744"/>
      <c r="B843" s="871"/>
      <c r="C843" s="151">
        <v>4110</v>
      </c>
      <c r="D843" s="127" t="s">
        <v>169</v>
      </c>
      <c r="E843" s="187">
        <v>25961</v>
      </c>
      <c r="F843" s="170">
        <v>25961</v>
      </c>
      <c r="G843" s="171">
        <f t="shared" si="18"/>
        <v>100</v>
      </c>
    </row>
    <row r="844" spans="1:7">
      <c r="A844" s="744"/>
      <c r="B844" s="871"/>
      <c r="C844" s="151">
        <v>4120</v>
      </c>
      <c r="D844" s="127" t="s">
        <v>191</v>
      </c>
      <c r="E844" s="187">
        <v>4217</v>
      </c>
      <c r="F844" s="170">
        <v>4217</v>
      </c>
      <c r="G844" s="171">
        <f t="shared" si="18"/>
        <v>100</v>
      </c>
    </row>
    <row r="845" spans="1:7">
      <c r="A845" s="744"/>
      <c r="B845" s="871"/>
      <c r="C845" s="151">
        <v>4210</v>
      </c>
      <c r="D845" s="127" t="s">
        <v>171</v>
      </c>
      <c r="E845" s="187">
        <v>87750</v>
      </c>
      <c r="F845" s="170">
        <v>87750.65</v>
      </c>
      <c r="G845" s="171">
        <f t="shared" si="18"/>
        <v>100.00074074074074</v>
      </c>
    </row>
    <row r="846" spans="1:7">
      <c r="A846" s="744"/>
      <c r="B846" s="871"/>
      <c r="C846" s="151">
        <v>4260</v>
      </c>
      <c r="D846" s="127" t="s">
        <v>172</v>
      </c>
      <c r="E846" s="187">
        <v>8410</v>
      </c>
      <c r="F846" s="170">
        <v>8410</v>
      </c>
      <c r="G846" s="171">
        <f t="shared" si="18"/>
        <v>100</v>
      </c>
    </row>
    <row r="847" spans="1:7">
      <c r="A847" s="744"/>
      <c r="B847" s="871"/>
      <c r="C847" s="151">
        <v>4300</v>
      </c>
      <c r="D847" s="127" t="s">
        <v>161</v>
      </c>
      <c r="E847" s="187">
        <v>29981</v>
      </c>
      <c r="F847" s="170">
        <v>29981</v>
      </c>
      <c r="G847" s="171">
        <f t="shared" si="18"/>
        <v>100</v>
      </c>
    </row>
    <row r="848" spans="1:7" ht="22.5">
      <c r="A848" s="744"/>
      <c r="B848" s="871"/>
      <c r="C848" s="151">
        <v>4370</v>
      </c>
      <c r="D848" s="173" t="s">
        <v>362</v>
      </c>
      <c r="E848" s="187">
        <v>58</v>
      </c>
      <c r="F848" s="170">
        <v>58</v>
      </c>
      <c r="G848" s="171">
        <f t="shared" si="18"/>
        <v>100</v>
      </c>
    </row>
    <row r="849" spans="1:7">
      <c r="A849" s="744"/>
      <c r="B849" s="871"/>
      <c r="C849" s="151">
        <v>4410</v>
      </c>
      <c r="D849" s="127" t="s">
        <v>176</v>
      </c>
      <c r="E849" s="187">
        <v>244</v>
      </c>
      <c r="F849" s="170">
        <v>244</v>
      </c>
      <c r="G849" s="171">
        <f t="shared" si="18"/>
        <v>100</v>
      </c>
    </row>
    <row r="850" spans="1:7">
      <c r="A850" s="744"/>
      <c r="B850" s="871"/>
      <c r="C850" s="151">
        <v>4440</v>
      </c>
      <c r="D850" s="127" t="s">
        <v>363</v>
      </c>
      <c r="E850" s="187">
        <v>10742</v>
      </c>
      <c r="F850" s="170">
        <v>10742</v>
      </c>
      <c r="G850" s="171">
        <f t="shared" si="18"/>
        <v>100</v>
      </c>
    </row>
    <row r="851" spans="1:7">
      <c r="A851" s="744"/>
      <c r="B851" s="871"/>
      <c r="C851" s="151">
        <v>4530</v>
      </c>
      <c r="D851" s="169" t="s">
        <v>164</v>
      </c>
      <c r="E851" s="187">
        <v>2686</v>
      </c>
      <c r="F851" s="170">
        <v>2686</v>
      </c>
      <c r="G851" s="171">
        <f t="shared" si="18"/>
        <v>100</v>
      </c>
    </row>
    <row r="852" spans="1:7">
      <c r="A852" s="744"/>
      <c r="B852" s="165">
        <v>85415</v>
      </c>
      <c r="C852" s="165"/>
      <c r="D852" s="185" t="s">
        <v>109</v>
      </c>
      <c r="E852" s="182">
        <f>E853+E862+E856+E859+E865</f>
        <v>319000</v>
      </c>
      <c r="F852" s="182">
        <f>F853+F862+F856+F859+F865</f>
        <v>316700</v>
      </c>
      <c r="G852" s="168">
        <f t="shared" si="18"/>
        <v>99.278996865203766</v>
      </c>
    </row>
    <row r="853" spans="1:7">
      <c r="A853" s="744"/>
      <c r="B853" s="870"/>
      <c r="C853" s="176"/>
      <c r="D853" s="184" t="s">
        <v>205</v>
      </c>
      <c r="E853" s="230">
        <f>E854+E855</f>
        <v>120000</v>
      </c>
      <c r="F853" s="230">
        <f>F854+F855</f>
        <v>118000</v>
      </c>
      <c r="G853" s="175">
        <f t="shared" ref="G853:G903" si="19">F853*100/E853</f>
        <v>98.333333333333329</v>
      </c>
    </row>
    <row r="854" spans="1:7">
      <c r="A854" s="744"/>
      <c r="B854" s="871"/>
      <c r="C854" s="461">
        <v>3248</v>
      </c>
      <c r="D854" s="127" t="s">
        <v>192</v>
      </c>
      <c r="E854" s="187">
        <v>81660</v>
      </c>
      <c r="F854" s="477">
        <v>80299</v>
      </c>
      <c r="G854" s="171">
        <f t="shared" si="19"/>
        <v>98.333333333333329</v>
      </c>
    </row>
    <row r="855" spans="1:7">
      <c r="A855" s="744"/>
      <c r="B855" s="871"/>
      <c r="C855" s="461">
        <v>3249</v>
      </c>
      <c r="D855" s="127" t="s">
        <v>192</v>
      </c>
      <c r="E855" s="187">
        <v>38340</v>
      </c>
      <c r="F855" s="170">
        <v>37701</v>
      </c>
      <c r="G855" s="171">
        <f t="shared" si="19"/>
        <v>98.333333333333329</v>
      </c>
    </row>
    <row r="856" spans="1:7">
      <c r="A856" s="744"/>
      <c r="B856" s="871"/>
      <c r="C856" s="461"/>
      <c r="D856" s="184" t="s">
        <v>206</v>
      </c>
      <c r="E856" s="230">
        <f>SUM(E857:E858)</f>
        <v>12000</v>
      </c>
      <c r="F856" s="230">
        <f>SUM(F857:F858)</f>
        <v>12000</v>
      </c>
      <c r="G856" s="171">
        <f t="shared" si="19"/>
        <v>100</v>
      </c>
    </row>
    <row r="857" spans="1:7">
      <c r="A857" s="744"/>
      <c r="B857" s="871"/>
      <c r="C857" s="461">
        <v>3248</v>
      </c>
      <c r="D857" s="127" t="s">
        <v>192</v>
      </c>
      <c r="E857" s="187">
        <v>8166</v>
      </c>
      <c r="F857" s="170">
        <v>8166</v>
      </c>
      <c r="G857" s="171">
        <f t="shared" si="19"/>
        <v>100</v>
      </c>
    </row>
    <row r="858" spans="1:7">
      <c r="A858" s="744"/>
      <c r="B858" s="871"/>
      <c r="C858" s="461">
        <v>3249</v>
      </c>
      <c r="D858" s="127" t="s">
        <v>192</v>
      </c>
      <c r="E858" s="187">
        <v>3834</v>
      </c>
      <c r="F858" s="170">
        <v>3834</v>
      </c>
      <c r="G858" s="171">
        <f t="shared" si="19"/>
        <v>100</v>
      </c>
    </row>
    <row r="859" spans="1:7">
      <c r="A859" s="744"/>
      <c r="B859" s="871"/>
      <c r="C859" s="461"/>
      <c r="D859" s="184" t="s">
        <v>204</v>
      </c>
      <c r="E859" s="230">
        <f>SUM(E860:E861)</f>
        <v>74000</v>
      </c>
      <c r="F859" s="230">
        <f>SUM(F860:F861)</f>
        <v>74000</v>
      </c>
      <c r="G859" s="171">
        <f t="shared" si="19"/>
        <v>100</v>
      </c>
    </row>
    <row r="860" spans="1:7">
      <c r="A860" s="744"/>
      <c r="B860" s="871"/>
      <c r="C860" s="461">
        <v>3248</v>
      </c>
      <c r="D860" s="127" t="s">
        <v>192</v>
      </c>
      <c r="E860" s="187">
        <v>50357</v>
      </c>
      <c r="F860" s="170">
        <v>50357</v>
      </c>
      <c r="G860" s="171">
        <f t="shared" si="19"/>
        <v>100</v>
      </c>
    </row>
    <row r="861" spans="1:7">
      <c r="A861" s="744"/>
      <c r="B861" s="871"/>
      <c r="C861" s="461">
        <v>3249</v>
      </c>
      <c r="D861" s="127" t="s">
        <v>192</v>
      </c>
      <c r="E861" s="187">
        <v>23643</v>
      </c>
      <c r="F861" s="170">
        <v>23643</v>
      </c>
      <c r="G861" s="171">
        <f t="shared" si="19"/>
        <v>100</v>
      </c>
    </row>
    <row r="862" spans="1:7">
      <c r="A862" s="744"/>
      <c r="B862" s="871"/>
      <c r="C862" s="176"/>
      <c r="D862" s="184" t="s">
        <v>207</v>
      </c>
      <c r="E862" s="230">
        <f>E864+E863</f>
        <v>88000</v>
      </c>
      <c r="F862" s="178">
        <f>F864+F863</f>
        <v>88000</v>
      </c>
      <c r="G862" s="207">
        <f t="shared" si="19"/>
        <v>100</v>
      </c>
    </row>
    <row r="863" spans="1:7">
      <c r="A863" s="744"/>
      <c r="B863" s="871"/>
      <c r="C863" s="461">
        <v>3248</v>
      </c>
      <c r="D863" s="127" t="s">
        <v>192</v>
      </c>
      <c r="E863" s="187">
        <v>59884</v>
      </c>
      <c r="F863" s="170">
        <v>59884</v>
      </c>
      <c r="G863" s="171">
        <f t="shared" si="19"/>
        <v>100</v>
      </c>
    </row>
    <row r="864" spans="1:7">
      <c r="A864" s="744"/>
      <c r="B864" s="871"/>
      <c r="C864" s="151">
        <v>3249</v>
      </c>
      <c r="D864" s="127" t="s">
        <v>192</v>
      </c>
      <c r="E864" s="187">
        <v>28116</v>
      </c>
      <c r="F864" s="170">
        <v>28116</v>
      </c>
      <c r="G864" s="171">
        <f t="shared" si="19"/>
        <v>100</v>
      </c>
    </row>
    <row r="865" spans="1:7">
      <c r="A865" s="744"/>
      <c r="B865" s="871"/>
      <c r="C865" s="461"/>
      <c r="D865" s="185" t="s">
        <v>193</v>
      </c>
      <c r="E865" s="167">
        <f>E866+E867+E868</f>
        <v>25000</v>
      </c>
      <c r="F865" s="167">
        <f>F866+F867+F868</f>
        <v>24700</v>
      </c>
      <c r="G865" s="171">
        <f t="shared" si="19"/>
        <v>98.8</v>
      </c>
    </row>
    <row r="866" spans="1:7">
      <c r="A866" s="744"/>
      <c r="B866" s="871"/>
      <c r="C866" s="461">
        <v>3240</v>
      </c>
      <c r="D866" s="127" t="s">
        <v>192</v>
      </c>
      <c r="E866" s="187">
        <v>10888</v>
      </c>
      <c r="F866" s="170">
        <v>10888</v>
      </c>
      <c r="G866" s="171">
        <f t="shared" si="19"/>
        <v>100</v>
      </c>
    </row>
    <row r="867" spans="1:7">
      <c r="A867" s="744"/>
      <c r="B867" s="871"/>
      <c r="C867" s="461">
        <v>3248</v>
      </c>
      <c r="D867" s="127" t="s">
        <v>192</v>
      </c>
      <c r="E867" s="187">
        <v>5112</v>
      </c>
      <c r="F867" s="170">
        <v>5112</v>
      </c>
      <c r="G867" s="171">
        <f t="shared" si="19"/>
        <v>100</v>
      </c>
    </row>
    <row r="868" spans="1:7">
      <c r="A868" s="744"/>
      <c r="B868" s="872"/>
      <c r="C868" s="461">
        <v>3249</v>
      </c>
      <c r="D868" s="127" t="s">
        <v>192</v>
      </c>
      <c r="E868" s="187">
        <v>9000</v>
      </c>
      <c r="F868" s="170">
        <v>8700</v>
      </c>
      <c r="G868" s="171">
        <f t="shared" si="19"/>
        <v>96.666666666666671</v>
      </c>
    </row>
    <row r="869" spans="1:7" s="3" customFormat="1">
      <c r="A869" s="744"/>
      <c r="B869" s="165">
        <v>85419</v>
      </c>
      <c r="C869" s="465"/>
      <c r="D869" s="185" t="s">
        <v>340</v>
      </c>
      <c r="E869" s="182">
        <f>E870</f>
        <v>1090418</v>
      </c>
      <c r="F869" s="167">
        <f>F870</f>
        <v>1051916.8</v>
      </c>
      <c r="G869" s="171">
        <f t="shared" si="19"/>
        <v>96.469133855090433</v>
      </c>
    </row>
    <row r="870" spans="1:7" ht="22.5">
      <c r="A870" s="744"/>
      <c r="B870" s="176"/>
      <c r="C870" s="151">
        <v>2540</v>
      </c>
      <c r="D870" s="173" t="s">
        <v>375</v>
      </c>
      <c r="E870" s="187">
        <v>1090418</v>
      </c>
      <c r="F870" s="170">
        <v>1051916.8</v>
      </c>
      <c r="G870" s="171">
        <f>F870*100/E870</f>
        <v>96.469133855090433</v>
      </c>
    </row>
    <row r="871" spans="1:7">
      <c r="A871" s="744"/>
      <c r="B871" s="165">
        <v>85420</v>
      </c>
      <c r="C871" s="165"/>
      <c r="D871" s="185" t="s">
        <v>110</v>
      </c>
      <c r="E871" s="182">
        <f>E872+E893</f>
        <v>1215288</v>
      </c>
      <c r="F871" s="182">
        <f>F872+F893</f>
        <v>1215282.9099999999</v>
      </c>
      <c r="G871" s="168">
        <f t="shared" si="19"/>
        <v>99.999581169237246</v>
      </c>
    </row>
    <row r="872" spans="1:7">
      <c r="A872" s="744"/>
      <c r="B872" s="867"/>
      <c r="C872" s="465"/>
      <c r="D872" s="185" t="s">
        <v>334</v>
      </c>
      <c r="E872" s="182">
        <f>SUM(E873:E892)</f>
        <v>1213888</v>
      </c>
      <c r="F872" s="182">
        <f>SUM(F873:F892)</f>
        <v>1213882.9099999999</v>
      </c>
      <c r="G872" s="171">
        <f t="shared" si="19"/>
        <v>99.999580686191791</v>
      </c>
    </row>
    <row r="873" spans="1:7">
      <c r="A873" s="744"/>
      <c r="B873" s="868"/>
      <c r="C873" s="151">
        <v>3020</v>
      </c>
      <c r="D873" s="127" t="s">
        <v>166</v>
      </c>
      <c r="E873" s="187">
        <v>53204</v>
      </c>
      <c r="F873" s="170">
        <v>53204</v>
      </c>
      <c r="G873" s="171">
        <f t="shared" si="19"/>
        <v>100</v>
      </c>
    </row>
    <row r="874" spans="1:7">
      <c r="A874" s="744"/>
      <c r="B874" s="868"/>
      <c r="C874" s="151">
        <v>4010</v>
      </c>
      <c r="D874" s="127" t="s">
        <v>167</v>
      </c>
      <c r="E874" s="187">
        <v>656191</v>
      </c>
      <c r="F874" s="170">
        <v>656191</v>
      </c>
      <c r="G874" s="171">
        <f t="shared" si="19"/>
        <v>100</v>
      </c>
    </row>
    <row r="875" spans="1:7">
      <c r="A875" s="744"/>
      <c r="B875" s="868"/>
      <c r="C875" s="151">
        <v>4040</v>
      </c>
      <c r="D875" s="127" t="s">
        <v>168</v>
      </c>
      <c r="E875" s="187">
        <v>48039</v>
      </c>
      <c r="F875" s="170">
        <v>48038.03</v>
      </c>
      <c r="G875" s="171">
        <f t="shared" si="19"/>
        <v>99.997980807260774</v>
      </c>
    </row>
    <row r="876" spans="1:7">
      <c r="A876" s="744"/>
      <c r="B876" s="868"/>
      <c r="C876" s="151">
        <v>4110</v>
      </c>
      <c r="D876" s="127" t="s">
        <v>169</v>
      </c>
      <c r="E876" s="187">
        <v>100214</v>
      </c>
      <c r="F876" s="170">
        <v>100213.6</v>
      </c>
      <c r="G876" s="171">
        <f t="shared" si="19"/>
        <v>99.999600854172073</v>
      </c>
    </row>
    <row r="877" spans="1:7">
      <c r="A877" s="744"/>
      <c r="B877" s="868"/>
      <c r="C877" s="151">
        <v>4120</v>
      </c>
      <c r="D877" s="127" t="s">
        <v>191</v>
      </c>
      <c r="E877" s="187">
        <v>17699</v>
      </c>
      <c r="F877" s="170">
        <v>17698.04</v>
      </c>
      <c r="G877" s="171">
        <f t="shared" si="19"/>
        <v>99.994575964743774</v>
      </c>
    </row>
    <row r="878" spans="1:7">
      <c r="A878" s="744"/>
      <c r="B878" s="868"/>
      <c r="C878" s="151">
        <v>4210</v>
      </c>
      <c r="D878" s="127" t="s">
        <v>171</v>
      </c>
      <c r="E878" s="187">
        <v>116000</v>
      </c>
      <c r="F878" s="170">
        <v>116000</v>
      </c>
      <c r="G878" s="171">
        <f t="shared" si="19"/>
        <v>100</v>
      </c>
    </row>
    <row r="879" spans="1:7">
      <c r="A879" s="744"/>
      <c r="B879" s="868"/>
      <c r="C879" s="151">
        <v>4220</v>
      </c>
      <c r="D879" s="127" t="s">
        <v>197</v>
      </c>
      <c r="E879" s="187">
        <v>2600</v>
      </c>
      <c r="F879" s="170">
        <v>2600</v>
      </c>
      <c r="G879" s="171">
        <f t="shared" si="19"/>
        <v>100</v>
      </c>
    </row>
    <row r="880" spans="1:7">
      <c r="A880" s="744"/>
      <c r="B880" s="868"/>
      <c r="C880" s="151">
        <v>4240</v>
      </c>
      <c r="D880" s="127" t="s">
        <v>357</v>
      </c>
      <c r="E880" s="187">
        <v>1500</v>
      </c>
      <c r="F880" s="170">
        <v>1500</v>
      </c>
      <c r="G880" s="171">
        <f t="shared" si="19"/>
        <v>100</v>
      </c>
    </row>
    <row r="881" spans="1:7">
      <c r="A881" s="744"/>
      <c r="B881" s="868"/>
      <c r="C881" s="151">
        <v>4260</v>
      </c>
      <c r="D881" s="127" t="s">
        <v>172</v>
      </c>
      <c r="E881" s="187">
        <v>10760</v>
      </c>
      <c r="F881" s="170">
        <v>10759.09</v>
      </c>
      <c r="G881" s="171">
        <f t="shared" si="19"/>
        <v>99.991542750929369</v>
      </c>
    </row>
    <row r="882" spans="1:7">
      <c r="A882" s="744"/>
      <c r="B882" s="868"/>
      <c r="C882" s="151">
        <v>4270</v>
      </c>
      <c r="D882" s="127" t="s">
        <v>173</v>
      </c>
      <c r="E882" s="187">
        <v>7358</v>
      </c>
      <c r="F882" s="170">
        <v>7358</v>
      </c>
      <c r="G882" s="171">
        <f t="shared" si="19"/>
        <v>100</v>
      </c>
    </row>
    <row r="883" spans="1:7">
      <c r="A883" s="744"/>
      <c r="B883" s="868"/>
      <c r="C883" s="151">
        <v>4280</v>
      </c>
      <c r="D883" s="127" t="s">
        <v>174</v>
      </c>
      <c r="E883" s="187">
        <v>755</v>
      </c>
      <c r="F883" s="170">
        <v>755</v>
      </c>
      <c r="G883" s="171">
        <f t="shared" si="19"/>
        <v>100</v>
      </c>
    </row>
    <row r="884" spans="1:7">
      <c r="A884" s="744"/>
      <c r="B884" s="868"/>
      <c r="C884" s="151">
        <v>4300</v>
      </c>
      <c r="D884" s="127" t="s">
        <v>161</v>
      </c>
      <c r="E884" s="187">
        <v>149500</v>
      </c>
      <c r="F884" s="170">
        <v>149500</v>
      </c>
      <c r="G884" s="171">
        <f t="shared" si="19"/>
        <v>100</v>
      </c>
    </row>
    <row r="885" spans="1:7">
      <c r="A885" s="744"/>
      <c r="B885" s="868"/>
      <c r="C885" s="151">
        <v>4350</v>
      </c>
      <c r="D885" s="169" t="s">
        <v>175</v>
      </c>
      <c r="E885" s="187">
        <v>2572</v>
      </c>
      <c r="F885" s="170">
        <v>2571.34</v>
      </c>
      <c r="G885" s="171">
        <f t="shared" si="19"/>
        <v>99.97433903576983</v>
      </c>
    </row>
    <row r="886" spans="1:7" ht="22.5">
      <c r="A886" s="744"/>
      <c r="B886" s="868"/>
      <c r="C886" s="151">
        <v>4360</v>
      </c>
      <c r="D886" s="173" t="s">
        <v>361</v>
      </c>
      <c r="E886" s="187">
        <v>225</v>
      </c>
      <c r="F886" s="170">
        <v>225</v>
      </c>
      <c r="G886" s="171">
        <f t="shared" si="19"/>
        <v>100</v>
      </c>
    </row>
    <row r="887" spans="1:7" ht="22.5">
      <c r="A887" s="744"/>
      <c r="B887" s="868"/>
      <c r="C887" s="151">
        <v>4370</v>
      </c>
      <c r="D887" s="173" t="s">
        <v>362</v>
      </c>
      <c r="E887" s="187">
        <v>3167</v>
      </c>
      <c r="F887" s="170">
        <v>3166.43</v>
      </c>
      <c r="G887" s="171">
        <f t="shared" si="19"/>
        <v>99.982001894537419</v>
      </c>
    </row>
    <row r="888" spans="1:7">
      <c r="A888" s="744"/>
      <c r="B888" s="868"/>
      <c r="C888" s="151">
        <v>4410</v>
      </c>
      <c r="D888" s="127" t="s">
        <v>176</v>
      </c>
      <c r="E888" s="187">
        <v>1618</v>
      </c>
      <c r="F888" s="170">
        <v>1617.38</v>
      </c>
      <c r="G888" s="171">
        <f t="shared" si="19"/>
        <v>99.96168108776267</v>
      </c>
    </row>
    <row r="889" spans="1:7">
      <c r="A889" s="744"/>
      <c r="B889" s="868"/>
      <c r="C889" s="151">
        <v>4440</v>
      </c>
      <c r="D889" s="127" t="s">
        <v>363</v>
      </c>
      <c r="E889" s="187">
        <v>38380</v>
      </c>
      <c r="F889" s="170">
        <v>38380</v>
      </c>
      <c r="G889" s="171">
        <f t="shared" si="19"/>
        <v>100</v>
      </c>
    </row>
    <row r="890" spans="1:7" ht="22.5">
      <c r="A890" s="744"/>
      <c r="B890" s="868"/>
      <c r="C890" s="151">
        <v>4700</v>
      </c>
      <c r="D890" s="186" t="s">
        <v>365</v>
      </c>
      <c r="E890" s="187">
        <v>1445</v>
      </c>
      <c r="F890" s="170">
        <v>1445</v>
      </c>
      <c r="G890" s="171">
        <f t="shared" si="19"/>
        <v>100</v>
      </c>
    </row>
    <row r="891" spans="1:7" ht="22.5">
      <c r="A891" s="744"/>
      <c r="B891" s="868"/>
      <c r="C891" s="151">
        <v>4740</v>
      </c>
      <c r="D891" s="173" t="s">
        <v>366</v>
      </c>
      <c r="E891" s="187">
        <v>451</v>
      </c>
      <c r="F891" s="170">
        <v>451</v>
      </c>
      <c r="G891" s="171">
        <f t="shared" si="19"/>
        <v>100</v>
      </c>
    </row>
    <row r="892" spans="1:7" ht="22.5">
      <c r="A892" s="744"/>
      <c r="B892" s="868"/>
      <c r="C892" s="151">
        <v>4750</v>
      </c>
      <c r="D892" s="173" t="s">
        <v>367</v>
      </c>
      <c r="E892" s="187">
        <v>2210</v>
      </c>
      <c r="F892" s="170">
        <v>2210</v>
      </c>
      <c r="G892" s="171">
        <f t="shared" si="19"/>
        <v>100</v>
      </c>
    </row>
    <row r="893" spans="1:7">
      <c r="A893" s="744"/>
      <c r="B893" s="868"/>
      <c r="C893" s="461"/>
      <c r="D893" s="166" t="s">
        <v>193</v>
      </c>
      <c r="E893" s="182">
        <f>E894</f>
        <v>1400</v>
      </c>
      <c r="F893" s="167">
        <f>F894</f>
        <v>1400</v>
      </c>
      <c r="G893" s="168"/>
    </row>
    <row r="894" spans="1:7">
      <c r="A894" s="744"/>
      <c r="B894" s="869"/>
      <c r="C894" s="461">
        <v>4210</v>
      </c>
      <c r="D894" s="127" t="s">
        <v>171</v>
      </c>
      <c r="E894" s="187">
        <v>1400</v>
      </c>
      <c r="F894" s="170">
        <v>1400</v>
      </c>
      <c r="G894" s="171"/>
    </row>
    <row r="895" spans="1:7">
      <c r="A895" s="744"/>
      <c r="B895" s="165">
        <v>85446</v>
      </c>
      <c r="C895" s="165"/>
      <c r="D895" s="185" t="s">
        <v>141</v>
      </c>
      <c r="E895" s="182">
        <f>E896+E898+E901</f>
        <v>12672</v>
      </c>
      <c r="F895" s="167">
        <f>F896+F898+F901</f>
        <v>12035.91</v>
      </c>
      <c r="G895" s="175">
        <f t="shared" si="19"/>
        <v>94.980350378787875</v>
      </c>
    </row>
    <row r="896" spans="1:7">
      <c r="A896" s="744"/>
      <c r="B896" s="873"/>
      <c r="C896" s="165"/>
      <c r="D896" s="184" t="s">
        <v>355</v>
      </c>
      <c r="E896" s="182">
        <f>E897</f>
        <v>3874</v>
      </c>
      <c r="F896" s="167">
        <f>F897</f>
        <v>3874</v>
      </c>
      <c r="G896" s="175">
        <f t="shared" si="19"/>
        <v>100</v>
      </c>
    </row>
    <row r="897" spans="1:7">
      <c r="A897" s="744"/>
      <c r="B897" s="873"/>
      <c r="C897" s="151">
        <v>4300</v>
      </c>
      <c r="D897" s="127" t="s">
        <v>161</v>
      </c>
      <c r="E897" s="229">
        <v>3874</v>
      </c>
      <c r="F897" s="208">
        <v>3874</v>
      </c>
      <c r="G897" s="171">
        <f t="shared" si="19"/>
        <v>100</v>
      </c>
    </row>
    <row r="898" spans="1:7">
      <c r="A898" s="744"/>
      <c r="B898" s="873"/>
      <c r="C898" s="151"/>
      <c r="D898" s="184" t="s">
        <v>334</v>
      </c>
      <c r="E898" s="229">
        <f>E899+E900</f>
        <v>6299</v>
      </c>
      <c r="F898" s="229">
        <f>F899+F900</f>
        <v>6299</v>
      </c>
      <c r="G898" s="171">
        <f t="shared" si="19"/>
        <v>100</v>
      </c>
    </row>
    <row r="899" spans="1:7">
      <c r="A899" s="744"/>
      <c r="B899" s="873"/>
      <c r="C899" s="151">
        <v>4300</v>
      </c>
      <c r="D899" s="127" t="s">
        <v>161</v>
      </c>
      <c r="E899" s="187">
        <v>5709</v>
      </c>
      <c r="F899" s="170">
        <v>5709</v>
      </c>
      <c r="G899" s="171">
        <f t="shared" si="19"/>
        <v>100</v>
      </c>
    </row>
    <row r="900" spans="1:7" ht="22.5">
      <c r="A900" s="744"/>
      <c r="B900" s="873"/>
      <c r="C900" s="151">
        <v>4700</v>
      </c>
      <c r="D900" s="186" t="s">
        <v>365</v>
      </c>
      <c r="E900" s="187">
        <v>590</v>
      </c>
      <c r="F900" s="170">
        <v>590</v>
      </c>
      <c r="G900" s="171">
        <f t="shared" si="19"/>
        <v>100</v>
      </c>
    </row>
    <row r="901" spans="1:7" s="3" customFormat="1">
      <c r="A901" s="744"/>
      <c r="B901" s="873"/>
      <c r="C901" s="465"/>
      <c r="D901" s="184" t="s">
        <v>356</v>
      </c>
      <c r="E901" s="182">
        <f>E903+E902</f>
        <v>2499</v>
      </c>
      <c r="F901" s="167">
        <f>F903+F902</f>
        <v>1862.91</v>
      </c>
      <c r="G901" s="168">
        <f t="shared" si="19"/>
        <v>74.546218487394952</v>
      </c>
    </row>
    <row r="902" spans="1:7">
      <c r="A902" s="744"/>
      <c r="B902" s="873"/>
      <c r="C902" s="151">
        <v>4300</v>
      </c>
      <c r="D902" s="127" t="s">
        <v>161</v>
      </c>
      <c r="E902" s="187">
        <v>636.09</v>
      </c>
      <c r="F902" s="170">
        <v>0</v>
      </c>
      <c r="G902" s="171">
        <f t="shared" si="19"/>
        <v>0</v>
      </c>
    </row>
    <row r="903" spans="1:7">
      <c r="A903" s="744"/>
      <c r="B903" s="873"/>
      <c r="C903" s="151">
        <v>4410</v>
      </c>
      <c r="D903" s="127" t="s">
        <v>176</v>
      </c>
      <c r="E903" s="229">
        <v>1862.91</v>
      </c>
      <c r="F903" s="208">
        <v>1862.91</v>
      </c>
      <c r="G903" s="171">
        <f t="shared" si="19"/>
        <v>100</v>
      </c>
    </row>
    <row r="904" spans="1:7">
      <c r="A904" s="161">
        <v>921</v>
      </c>
      <c r="B904" s="161"/>
      <c r="C904" s="161"/>
      <c r="D904" s="189" t="s">
        <v>143</v>
      </c>
      <c r="E904" s="206">
        <f>E905+E909+E912</f>
        <v>155770</v>
      </c>
      <c r="F904" s="163">
        <f>F905+F909+F912</f>
        <v>124001.25</v>
      </c>
      <c r="G904" s="164">
        <f t="shared" ref="G904:G927" si="20">F904*100/E904</f>
        <v>79.605347627912948</v>
      </c>
    </row>
    <row r="905" spans="1:7">
      <c r="A905" s="867"/>
      <c r="B905" s="165">
        <v>92105</v>
      </c>
      <c r="C905" s="165"/>
      <c r="D905" s="185" t="s">
        <v>144</v>
      </c>
      <c r="E905" s="182">
        <f>SUM(E906:E908)</f>
        <v>31000</v>
      </c>
      <c r="F905" s="167">
        <f>SUM(F906:F908)</f>
        <v>29231.25</v>
      </c>
      <c r="G905" s="168">
        <f t="shared" si="20"/>
        <v>94.29435483870968</v>
      </c>
    </row>
    <row r="906" spans="1:7" s="4" customFormat="1" ht="48">
      <c r="A906" s="868"/>
      <c r="B906" s="744"/>
      <c r="C906" s="151">
        <v>2310</v>
      </c>
      <c r="D906" s="682" t="s">
        <v>555</v>
      </c>
      <c r="E906" s="187">
        <v>20000</v>
      </c>
      <c r="F906" s="170">
        <v>20000</v>
      </c>
      <c r="G906" s="171">
        <f t="shared" si="20"/>
        <v>100</v>
      </c>
    </row>
    <row r="907" spans="1:7" s="4" customFormat="1">
      <c r="A907" s="868"/>
      <c r="B907" s="744"/>
      <c r="C907" s="151">
        <v>4210</v>
      </c>
      <c r="D907" s="127" t="s">
        <v>171</v>
      </c>
      <c r="E907" s="187">
        <v>2000</v>
      </c>
      <c r="F907" s="170">
        <v>1422.29</v>
      </c>
      <c r="G907" s="171">
        <f t="shared" si="20"/>
        <v>71.114500000000007</v>
      </c>
    </row>
    <row r="908" spans="1:7">
      <c r="A908" s="868"/>
      <c r="B908" s="744"/>
      <c r="C908" s="151">
        <v>4300</v>
      </c>
      <c r="D908" s="127" t="s">
        <v>161</v>
      </c>
      <c r="E908" s="187">
        <v>9000</v>
      </c>
      <c r="F908" s="170">
        <v>7808.96</v>
      </c>
      <c r="G908" s="171">
        <f t="shared" si="20"/>
        <v>86.766222222222225</v>
      </c>
    </row>
    <row r="909" spans="1:7">
      <c r="A909" s="868"/>
      <c r="B909" s="165">
        <v>92116</v>
      </c>
      <c r="C909" s="165"/>
      <c r="D909" s="251" t="s">
        <v>413</v>
      </c>
      <c r="E909" s="182">
        <f>E911+E910</f>
        <v>74770</v>
      </c>
      <c r="F909" s="167">
        <f>F911+F910</f>
        <v>74770</v>
      </c>
      <c r="G909" s="168">
        <f t="shared" si="20"/>
        <v>100</v>
      </c>
    </row>
    <row r="910" spans="1:7" ht="48">
      <c r="A910" s="868"/>
      <c r="B910" s="867"/>
      <c r="C910" s="461">
        <v>2310</v>
      </c>
      <c r="D910" s="682" t="s">
        <v>555</v>
      </c>
      <c r="E910" s="187">
        <v>54000</v>
      </c>
      <c r="F910" s="170">
        <v>54000</v>
      </c>
      <c r="G910" s="171">
        <f t="shared" si="20"/>
        <v>100</v>
      </c>
    </row>
    <row r="911" spans="1:7" ht="48">
      <c r="A911" s="868"/>
      <c r="B911" s="869"/>
      <c r="C911" s="151">
        <v>6610</v>
      </c>
      <c r="D911" s="76" t="s">
        <v>563</v>
      </c>
      <c r="E911" s="187">
        <v>20770</v>
      </c>
      <c r="F911" s="170">
        <v>20770</v>
      </c>
      <c r="G911" s="171">
        <f t="shared" si="20"/>
        <v>100</v>
      </c>
    </row>
    <row r="912" spans="1:7">
      <c r="A912" s="868"/>
      <c r="B912" s="165">
        <v>92195</v>
      </c>
      <c r="C912" s="165"/>
      <c r="D912" s="251" t="s">
        <v>88</v>
      </c>
      <c r="E912" s="182">
        <f>E913</f>
        <v>50000</v>
      </c>
      <c r="F912" s="167">
        <f>F913</f>
        <v>20000</v>
      </c>
      <c r="G912" s="168">
        <f t="shared" si="20"/>
        <v>40</v>
      </c>
    </row>
    <row r="913" spans="1:7" ht="23.25" customHeight="1">
      <c r="A913" s="869"/>
      <c r="B913" s="151"/>
      <c r="C913" s="151">
        <v>2580</v>
      </c>
      <c r="D913" s="186" t="s">
        <v>381</v>
      </c>
      <c r="E913" s="187">
        <v>50000</v>
      </c>
      <c r="F913" s="170">
        <v>20000</v>
      </c>
      <c r="G913" s="171">
        <f t="shared" si="20"/>
        <v>40</v>
      </c>
    </row>
    <row r="914" spans="1:7">
      <c r="A914" s="209">
        <v>926</v>
      </c>
      <c r="B914" s="161"/>
      <c r="C914" s="161"/>
      <c r="D914" s="210" t="s">
        <v>145</v>
      </c>
      <c r="E914" s="206">
        <f>E918+E915+E923</f>
        <v>1614564</v>
      </c>
      <c r="F914" s="163">
        <f>F918+F915+F923</f>
        <v>938221.89000000013</v>
      </c>
      <c r="G914" s="164">
        <f t="shared" si="20"/>
        <v>58.109922554943637</v>
      </c>
    </row>
    <row r="915" spans="1:7" s="14" customFormat="1">
      <c r="A915" s="884"/>
      <c r="B915" s="195">
        <v>92601</v>
      </c>
      <c r="C915" s="195"/>
      <c r="D915" s="211" t="s">
        <v>341</v>
      </c>
      <c r="E915" s="182">
        <f>E916+E917</f>
        <v>1497564</v>
      </c>
      <c r="F915" s="167">
        <f>F916</f>
        <v>824492.29</v>
      </c>
      <c r="G915" s="171">
        <f t="shared" si="20"/>
        <v>55.055562900817591</v>
      </c>
    </row>
    <row r="916" spans="1:7" s="145" customFormat="1">
      <c r="A916" s="885"/>
      <c r="B916" s="745"/>
      <c r="C916" s="198">
        <v>6050</v>
      </c>
      <c r="D916" s="212" t="s">
        <v>165</v>
      </c>
      <c r="E916" s="187">
        <v>824493</v>
      </c>
      <c r="F916" s="170">
        <v>824492.29</v>
      </c>
      <c r="G916" s="171">
        <f t="shared" si="20"/>
        <v>99.999913886473266</v>
      </c>
    </row>
    <row r="917" spans="1:7" s="145" customFormat="1" ht="48">
      <c r="A917" s="885"/>
      <c r="B917" s="747"/>
      <c r="C917" s="198">
        <v>6300</v>
      </c>
      <c r="D917" s="76" t="s">
        <v>612</v>
      </c>
      <c r="E917" s="187">
        <v>673071</v>
      </c>
      <c r="F917" s="170">
        <v>0</v>
      </c>
      <c r="G917" s="171">
        <f t="shared" si="20"/>
        <v>0</v>
      </c>
    </row>
    <row r="918" spans="1:7">
      <c r="A918" s="885"/>
      <c r="B918" s="165">
        <v>92605</v>
      </c>
      <c r="C918" s="165"/>
      <c r="D918" s="185" t="s">
        <v>146</v>
      </c>
      <c r="E918" s="182">
        <f>SUM(E919:E922)</f>
        <v>64801</v>
      </c>
      <c r="F918" s="167">
        <f>SUM(F919:F922)</f>
        <v>61530.66</v>
      </c>
      <c r="G918" s="168">
        <f t="shared" si="20"/>
        <v>94.953256894183738</v>
      </c>
    </row>
    <row r="919" spans="1:7" ht="48">
      <c r="A919" s="885"/>
      <c r="B919" s="867"/>
      <c r="C919" s="461">
        <v>2310</v>
      </c>
      <c r="D919" s="682" t="s">
        <v>555</v>
      </c>
      <c r="E919" s="187">
        <v>6500</v>
      </c>
      <c r="F919" s="170">
        <v>6500</v>
      </c>
      <c r="G919" s="171"/>
    </row>
    <row r="920" spans="1:7" ht="33.75">
      <c r="A920" s="885"/>
      <c r="B920" s="868"/>
      <c r="C920" s="151">
        <v>2820</v>
      </c>
      <c r="D920" s="186" t="s">
        <v>195</v>
      </c>
      <c r="E920" s="187">
        <v>45000</v>
      </c>
      <c r="F920" s="170">
        <v>45000</v>
      </c>
      <c r="G920" s="171">
        <f t="shared" si="20"/>
        <v>100</v>
      </c>
    </row>
    <row r="921" spans="1:7">
      <c r="A921" s="885"/>
      <c r="B921" s="868"/>
      <c r="C921" s="151">
        <v>4210</v>
      </c>
      <c r="D921" s="127" t="s">
        <v>171</v>
      </c>
      <c r="E921" s="187">
        <v>5801</v>
      </c>
      <c r="F921" s="170">
        <v>4288.83</v>
      </c>
      <c r="G921" s="171">
        <f t="shared" si="20"/>
        <v>73.932597827960691</v>
      </c>
    </row>
    <row r="922" spans="1:7">
      <c r="A922" s="885"/>
      <c r="B922" s="869"/>
      <c r="C922" s="151">
        <v>4300</v>
      </c>
      <c r="D922" s="127" t="s">
        <v>161</v>
      </c>
      <c r="E922" s="187">
        <v>7500</v>
      </c>
      <c r="F922" s="170">
        <v>5741.83</v>
      </c>
      <c r="G922" s="171">
        <f t="shared" si="20"/>
        <v>76.557733333333331</v>
      </c>
    </row>
    <row r="923" spans="1:7">
      <c r="A923" s="885"/>
      <c r="B923" s="165">
        <v>92695</v>
      </c>
      <c r="C923" s="165"/>
      <c r="D923" s="251" t="s">
        <v>88</v>
      </c>
      <c r="E923" s="182">
        <f>E924+E925+E926</f>
        <v>52199</v>
      </c>
      <c r="F923" s="167">
        <f>F924+F925+F926</f>
        <v>52198.94</v>
      </c>
      <c r="G923" s="168">
        <f t="shared" si="20"/>
        <v>99.99988505526926</v>
      </c>
    </row>
    <row r="924" spans="1:7" ht="25.5" customHeight="1">
      <c r="A924" s="885"/>
      <c r="B924" s="748"/>
      <c r="C924" s="151">
        <v>2580</v>
      </c>
      <c r="D924" s="186" t="s">
        <v>381</v>
      </c>
      <c r="E924" s="187">
        <v>30000</v>
      </c>
      <c r="F924" s="170">
        <v>30000</v>
      </c>
      <c r="G924" s="171">
        <f t="shared" si="20"/>
        <v>100</v>
      </c>
    </row>
    <row r="925" spans="1:7" ht="22.5">
      <c r="A925" s="885"/>
      <c r="B925" s="749"/>
      <c r="C925" s="151">
        <v>3040</v>
      </c>
      <c r="D925" s="248" t="s">
        <v>421</v>
      </c>
      <c r="E925" s="187">
        <v>21100</v>
      </c>
      <c r="F925" s="170">
        <v>21100</v>
      </c>
      <c r="G925" s="171">
        <f t="shared" si="20"/>
        <v>100</v>
      </c>
    </row>
    <row r="926" spans="1:7">
      <c r="A926" s="886"/>
      <c r="B926" s="750"/>
      <c r="C926" s="461">
        <v>4210</v>
      </c>
      <c r="D926" s="127" t="s">
        <v>171</v>
      </c>
      <c r="E926" s="187">
        <v>1099</v>
      </c>
      <c r="F926" s="170">
        <v>1098.94</v>
      </c>
      <c r="G926" s="171">
        <f t="shared" si="20"/>
        <v>99.994540491355778</v>
      </c>
    </row>
    <row r="927" spans="1:7">
      <c r="A927" s="209"/>
      <c r="B927" s="161"/>
      <c r="C927" s="161"/>
      <c r="D927" s="189" t="s">
        <v>208</v>
      </c>
      <c r="E927" s="206">
        <f>E8+E15+E34+E69+E91+E116+E175+E225+E230+E529+E542+E696+E779+E914+E904+E24</f>
        <v>53242098.479999997</v>
      </c>
      <c r="F927" s="163">
        <f>F8+F15+F34+F69+F91+F116+F175+F225+F230+F529+F542+F696+F779+F914+F904+F24</f>
        <v>52006215.720000006</v>
      </c>
      <c r="G927" s="164">
        <f t="shared" si="20"/>
        <v>97.678748968799127</v>
      </c>
    </row>
  </sheetData>
  <mergeCells count="74">
    <mergeCell ref="A70:A90"/>
    <mergeCell ref="A915:A926"/>
    <mergeCell ref="B924:B926"/>
    <mergeCell ref="B919:B922"/>
    <mergeCell ref="B916:B917"/>
    <mergeCell ref="B910:B911"/>
    <mergeCell ref="A905:A913"/>
    <mergeCell ref="B254:B275"/>
    <mergeCell ref="B498:B506"/>
    <mergeCell ref="B544:B589"/>
    <mergeCell ref="B712:B730"/>
    <mergeCell ref="A697:A778"/>
    <mergeCell ref="B734:B778"/>
    <mergeCell ref="B896:B903"/>
    <mergeCell ref="B71:B88"/>
    <mergeCell ref="A117:A174"/>
    <mergeCell ref="E5:E6"/>
    <mergeCell ref="F5:F6"/>
    <mergeCell ref="A25:A33"/>
    <mergeCell ref="B26:B33"/>
    <mergeCell ref="A16:A23"/>
    <mergeCell ref="B19:B21"/>
    <mergeCell ref="C5:C6"/>
    <mergeCell ref="D5:D6"/>
    <mergeCell ref="B67:B68"/>
    <mergeCell ref="B36:B65"/>
    <mergeCell ref="A35:A68"/>
    <mergeCell ref="B641:B647"/>
    <mergeCell ref="B594:B639"/>
    <mergeCell ref="A543:A695"/>
    <mergeCell ref="B168:B172"/>
    <mergeCell ref="B177:B180"/>
    <mergeCell ref="A176:A224"/>
    <mergeCell ref="B222:B224"/>
    <mergeCell ref="A530:A541"/>
    <mergeCell ref="A231:A528"/>
    <mergeCell ref="B385:B459"/>
    <mergeCell ref="B461:B472"/>
    <mergeCell ref="B184:B218"/>
    <mergeCell ref="B126:B157"/>
    <mergeCell ref="B906:B908"/>
    <mergeCell ref="A9:A14"/>
    <mergeCell ref="B227:B229"/>
    <mergeCell ref="F1:G1"/>
    <mergeCell ref="A2:G2"/>
    <mergeCell ref="A3:G3"/>
    <mergeCell ref="A5:A6"/>
    <mergeCell ref="B5:B6"/>
    <mergeCell ref="B362:B383"/>
    <mergeCell ref="B118:B120"/>
    <mergeCell ref="B476:B496"/>
    <mergeCell ref="A226:A229"/>
    <mergeCell ref="G5:G6"/>
    <mergeCell ref="A92:A115"/>
    <mergeCell ref="A780:A903"/>
    <mergeCell ref="B591:B592"/>
    <mergeCell ref="B825:B851"/>
    <mergeCell ref="B872:B894"/>
    <mergeCell ref="B853:B868"/>
    <mergeCell ref="B803:B823"/>
    <mergeCell ref="B781:B801"/>
    <mergeCell ref="B159:B166"/>
    <mergeCell ref="B122:B124"/>
    <mergeCell ref="B97:B115"/>
    <mergeCell ref="B701:B710"/>
    <mergeCell ref="B277:B360"/>
    <mergeCell ref="B536:B539"/>
    <mergeCell ref="B232:B252"/>
    <mergeCell ref="B649:B673"/>
    <mergeCell ref="B675:B689"/>
    <mergeCell ref="B693:B695"/>
    <mergeCell ref="B531:B534"/>
    <mergeCell ref="B508:B528"/>
    <mergeCell ref="B698:B699"/>
  </mergeCells>
  <printOptions horizontalCentered="1"/>
  <pageMargins left="0.74803149606299213" right="0.74803149606299213" top="0.98425196850393704" bottom="0.98425196850393704" header="0.51181102362204722" footer="0.59055118110236227"/>
  <pageSetup paperSize="9" firstPageNumber="43" orientation="portrait" useFirstPageNumber="1" horizontalDpi="1200" verticalDpi="1200" r:id="rId1"/>
  <headerFooter alignWithMargins="0">
    <oddFooter>&amp;CZałącznik Nr 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W228"/>
  <sheetViews>
    <sheetView view="pageLayout" topLeftCell="A135" workbookViewId="0">
      <selection activeCell="F153" sqref="F153"/>
    </sheetView>
  </sheetViews>
  <sheetFormatPr defaultColWidth="9" defaultRowHeight="12.75"/>
  <cols>
    <col min="1" max="1" width="3.7109375" customWidth="1"/>
    <col min="2" max="2" width="5.140625" customWidth="1"/>
    <col min="3" max="3" width="4.7109375" style="506" customWidth="1"/>
    <col min="4" max="4" width="31.7109375" customWidth="1"/>
    <col min="5" max="5" width="10.7109375" style="98" customWidth="1"/>
    <col min="6" max="6" width="11.42578125" customWidth="1"/>
    <col min="7" max="7" width="11.5703125" customWidth="1"/>
    <col min="8" max="8" width="5.7109375" style="511" customWidth="1"/>
  </cols>
  <sheetData>
    <row r="1" spans="1:257">
      <c r="A1" s="2"/>
      <c r="B1" s="2"/>
      <c r="C1" s="505"/>
      <c r="D1" s="2"/>
      <c r="E1" s="493"/>
      <c r="F1" s="2"/>
      <c r="G1" s="755" t="s">
        <v>3</v>
      </c>
      <c r="H1" s="755"/>
    </row>
    <row r="2" spans="1:257" s="4" customFormat="1" ht="15.75">
      <c r="A2" s="756" t="s">
        <v>4</v>
      </c>
      <c r="B2" s="756"/>
      <c r="C2" s="756"/>
      <c r="D2" s="756"/>
      <c r="E2" s="756"/>
      <c r="F2" s="756"/>
      <c r="G2" s="756"/>
      <c r="H2" s="756"/>
      <c r="IO2"/>
      <c r="IP2"/>
      <c r="IQ2"/>
      <c r="IR2"/>
      <c r="IS2"/>
      <c r="IT2"/>
      <c r="IU2"/>
      <c r="IV2"/>
      <c r="IW2"/>
    </row>
    <row r="3" spans="1:257" s="4" customFormat="1" ht="15.75">
      <c r="A3" s="756" t="s">
        <v>5</v>
      </c>
      <c r="B3" s="756"/>
      <c r="C3" s="756"/>
      <c r="D3" s="756"/>
      <c r="E3" s="756"/>
      <c r="F3" s="756"/>
      <c r="G3" s="756"/>
      <c r="H3" s="756"/>
      <c r="IO3"/>
      <c r="IP3"/>
      <c r="IQ3"/>
      <c r="IR3"/>
      <c r="IS3"/>
      <c r="IT3"/>
      <c r="IU3"/>
      <c r="IV3"/>
      <c r="IW3"/>
    </row>
    <row r="4" spans="1:257" ht="15.75">
      <c r="A4" s="756" t="s">
        <v>525</v>
      </c>
      <c r="B4" s="756"/>
      <c r="C4" s="756"/>
      <c r="D4" s="756"/>
      <c r="E4" s="756"/>
      <c r="F4" s="756"/>
      <c r="G4" s="756"/>
      <c r="H4" s="756"/>
    </row>
    <row r="5" spans="1:257">
      <c r="A5" s="2"/>
      <c r="B5" s="2"/>
      <c r="C5" s="505"/>
      <c r="D5" s="2"/>
      <c r="E5" s="493"/>
      <c r="F5" s="2"/>
      <c r="G5" s="5" t="s">
        <v>6</v>
      </c>
      <c r="H5" s="507"/>
    </row>
    <row r="6" spans="1:257" s="3" customFormat="1">
      <c r="A6" s="744" t="s">
        <v>7</v>
      </c>
      <c r="B6" s="744" t="s">
        <v>8</v>
      </c>
      <c r="C6" s="744" t="s">
        <v>9</v>
      </c>
      <c r="D6" s="744" t="s">
        <v>10</v>
      </c>
      <c r="E6" s="757" t="s">
        <v>11</v>
      </c>
      <c r="F6" s="760" t="s">
        <v>12</v>
      </c>
      <c r="G6" s="761"/>
      <c r="H6" s="759" t="s">
        <v>13</v>
      </c>
      <c r="IO6"/>
      <c r="IP6"/>
      <c r="IQ6"/>
      <c r="IR6"/>
      <c r="IS6"/>
      <c r="IT6"/>
      <c r="IU6"/>
      <c r="IV6"/>
      <c r="IW6"/>
    </row>
    <row r="7" spans="1:257">
      <c r="A7" s="744"/>
      <c r="B7" s="744"/>
      <c r="C7" s="744"/>
      <c r="D7" s="744"/>
      <c r="E7" s="757"/>
      <c r="F7" s="762" t="s">
        <v>489</v>
      </c>
      <c r="G7" s="758" t="s">
        <v>490</v>
      </c>
      <c r="H7" s="759"/>
    </row>
    <row r="8" spans="1:257">
      <c r="A8" s="744"/>
      <c r="B8" s="744"/>
      <c r="C8" s="744"/>
      <c r="D8" s="744"/>
      <c r="E8" s="757"/>
      <c r="F8" s="763"/>
      <c r="G8" s="758"/>
      <c r="H8" s="759"/>
    </row>
    <row r="9" spans="1:257">
      <c r="A9" s="504">
        <v>1</v>
      </c>
      <c r="B9" s="504">
        <v>2</v>
      </c>
      <c r="C9" s="504">
        <v>3</v>
      </c>
      <c r="D9" s="504">
        <v>4</v>
      </c>
      <c r="E9" s="513">
        <v>5</v>
      </c>
      <c r="F9" s="504">
        <v>6</v>
      </c>
      <c r="G9" s="504">
        <v>7</v>
      </c>
      <c r="H9" s="504">
        <v>8</v>
      </c>
    </row>
    <row r="10" spans="1:257">
      <c r="A10" s="312" t="s">
        <v>14</v>
      </c>
      <c r="B10" s="312"/>
      <c r="C10" s="161"/>
      <c r="D10" s="439" t="s">
        <v>15</v>
      </c>
      <c r="E10" s="442">
        <f>E11+E13</f>
        <v>84000</v>
      </c>
      <c r="F10" s="442">
        <f t="shared" ref="F10:G10" si="0">F11+F13</f>
        <v>84215.4</v>
      </c>
      <c r="G10" s="442">
        <f t="shared" si="0"/>
        <v>0</v>
      </c>
      <c r="H10" s="508">
        <f>(G10+F10)/E10*100</f>
        <v>100.25642857142856</v>
      </c>
    </row>
    <row r="11" spans="1:257">
      <c r="A11" s="744" t="s">
        <v>16</v>
      </c>
      <c r="B11" s="283" t="s">
        <v>17</v>
      </c>
      <c r="C11" s="482"/>
      <c r="D11" s="440" t="s">
        <v>18</v>
      </c>
      <c r="E11" s="443">
        <f>E12</f>
        <v>84000</v>
      </c>
      <c r="F11" s="443">
        <f>F12</f>
        <v>84000</v>
      </c>
      <c r="G11" s="443">
        <f>G12</f>
        <v>0</v>
      </c>
      <c r="H11" s="509">
        <f>(G11+F11)/E11*100</f>
        <v>100</v>
      </c>
    </row>
    <row r="12" spans="1:257" ht="33.75">
      <c r="A12" s="744"/>
      <c r="B12" s="282"/>
      <c r="C12" s="482">
        <v>2110</v>
      </c>
      <c r="D12" s="250" t="s">
        <v>19</v>
      </c>
      <c r="E12" s="443">
        <v>84000</v>
      </c>
      <c r="F12" s="443">
        <v>84000</v>
      </c>
      <c r="G12" s="443">
        <v>0</v>
      </c>
      <c r="H12" s="509">
        <f t="shared" ref="H12:H79" si="1">(G12+F12)/E12*100</f>
        <v>100</v>
      </c>
    </row>
    <row r="13" spans="1:257">
      <c r="A13" s="744"/>
      <c r="B13" s="282" t="s">
        <v>20</v>
      </c>
      <c r="C13" s="482"/>
      <c r="D13" s="250" t="s">
        <v>21</v>
      </c>
      <c r="E13" s="443">
        <f>E14</f>
        <v>0</v>
      </c>
      <c r="F13" s="443">
        <f>F14</f>
        <v>215.4</v>
      </c>
      <c r="G13" s="443">
        <f>G14</f>
        <v>0</v>
      </c>
      <c r="H13" s="509"/>
    </row>
    <row r="14" spans="1:257" ht="33" customHeight="1">
      <c r="A14" s="744"/>
      <c r="B14" s="282"/>
      <c r="C14" s="482">
        <v>2360</v>
      </c>
      <c r="D14" s="250" t="s">
        <v>22</v>
      </c>
      <c r="E14" s="443">
        <v>0</v>
      </c>
      <c r="F14" s="443">
        <v>215.4</v>
      </c>
      <c r="G14" s="443">
        <v>0</v>
      </c>
      <c r="H14" s="509"/>
    </row>
    <row r="15" spans="1:257" s="3" customFormat="1">
      <c r="A15" s="161" t="s">
        <v>23</v>
      </c>
      <c r="B15" s="189"/>
      <c r="C15" s="161"/>
      <c r="D15" s="315" t="s">
        <v>24</v>
      </c>
      <c r="E15" s="442">
        <f>E16+E19</f>
        <v>269953</v>
      </c>
      <c r="F15" s="442">
        <f>F16+F19</f>
        <v>264982.93</v>
      </c>
      <c r="G15" s="442">
        <f>G16+G19</f>
        <v>0</v>
      </c>
      <c r="H15" s="508">
        <f t="shared" si="1"/>
        <v>98.158912847792024</v>
      </c>
      <c r="IO15"/>
      <c r="IP15"/>
      <c r="IQ15"/>
      <c r="IR15"/>
      <c r="IS15"/>
      <c r="IT15"/>
      <c r="IU15"/>
      <c r="IV15"/>
      <c r="IW15"/>
    </row>
    <row r="16" spans="1:257" s="4" customFormat="1">
      <c r="A16" s="744" t="s">
        <v>16</v>
      </c>
      <c r="B16" s="282" t="s">
        <v>25</v>
      </c>
      <c r="C16" s="482"/>
      <c r="D16" s="250" t="s">
        <v>26</v>
      </c>
      <c r="E16" s="443">
        <f>E18</f>
        <v>252000</v>
      </c>
      <c r="F16" s="443">
        <f>F18+F17</f>
        <v>247031.06</v>
      </c>
      <c r="G16" s="443">
        <f>G18</f>
        <v>0</v>
      </c>
      <c r="H16" s="509">
        <f t="shared" si="1"/>
        <v>98.028198412698401</v>
      </c>
      <c r="IO16"/>
      <c r="IP16"/>
      <c r="IQ16"/>
      <c r="IR16"/>
      <c r="IS16"/>
      <c r="IT16"/>
      <c r="IU16"/>
      <c r="IV16"/>
      <c r="IW16"/>
    </row>
    <row r="17" spans="1:257" s="4" customFormat="1">
      <c r="A17" s="744"/>
      <c r="B17" s="748"/>
      <c r="C17" s="314" t="s">
        <v>27</v>
      </c>
      <c r="D17" s="250" t="s">
        <v>28</v>
      </c>
      <c r="E17" s="443">
        <v>0</v>
      </c>
      <c r="F17" s="443">
        <v>1148.21</v>
      </c>
      <c r="G17" s="443">
        <v>0</v>
      </c>
      <c r="H17" s="509"/>
      <c r="IO17"/>
      <c r="IP17"/>
      <c r="IQ17"/>
      <c r="IR17"/>
      <c r="IS17"/>
      <c r="IT17"/>
      <c r="IU17"/>
      <c r="IV17"/>
      <c r="IW17"/>
    </row>
    <row r="18" spans="1:257" ht="33" customHeight="1">
      <c r="A18" s="744"/>
      <c r="B18" s="750"/>
      <c r="C18" s="482">
        <v>2460</v>
      </c>
      <c r="D18" s="250" t="s">
        <v>29</v>
      </c>
      <c r="E18" s="443">
        <v>252000</v>
      </c>
      <c r="F18" s="443">
        <v>245882.85</v>
      </c>
      <c r="G18" s="443">
        <v>0</v>
      </c>
      <c r="H18" s="509">
        <f t="shared" si="1"/>
        <v>97.572559523809517</v>
      </c>
    </row>
    <row r="19" spans="1:257">
      <c r="A19" s="744"/>
      <c r="B19" s="282" t="s">
        <v>30</v>
      </c>
      <c r="C19" s="482"/>
      <c r="D19" s="250" t="s">
        <v>136</v>
      </c>
      <c r="E19" s="443">
        <f>E20</f>
        <v>17953</v>
      </c>
      <c r="F19" s="443">
        <f>F20</f>
        <v>17951.87</v>
      </c>
      <c r="G19" s="443">
        <f>G20</f>
        <v>0</v>
      </c>
      <c r="H19" s="509">
        <f t="shared" si="1"/>
        <v>99.993705787333582</v>
      </c>
    </row>
    <row r="20" spans="1:257" ht="57.75" customHeight="1">
      <c r="A20" s="744"/>
      <c r="B20" s="282"/>
      <c r="C20" s="482" t="s">
        <v>31</v>
      </c>
      <c r="D20" s="250" t="s">
        <v>117</v>
      </c>
      <c r="E20" s="443">
        <v>17953</v>
      </c>
      <c r="F20" s="443">
        <v>17951.87</v>
      </c>
      <c r="G20" s="443">
        <v>0</v>
      </c>
      <c r="H20" s="509">
        <f t="shared" si="1"/>
        <v>99.993705787333582</v>
      </c>
    </row>
    <row r="21" spans="1:257" ht="12" hidden="1" customHeight="1">
      <c r="A21" s="161">
        <v>150</v>
      </c>
      <c r="B21" s="317"/>
      <c r="C21" s="317"/>
      <c r="D21" s="315" t="s">
        <v>33</v>
      </c>
      <c r="E21" s="442">
        <f>SUM(E23)</f>
        <v>0</v>
      </c>
      <c r="F21" s="442">
        <f>SUM(F23)</f>
        <v>0</v>
      </c>
      <c r="G21" s="442">
        <f>SUM(G23)</f>
        <v>0</v>
      </c>
      <c r="H21" s="509" t="e">
        <f t="shared" si="1"/>
        <v>#DIV/0!</v>
      </c>
    </row>
    <row r="22" spans="1:257" hidden="1">
      <c r="A22" s="754"/>
      <c r="B22" s="282">
        <v>15011</v>
      </c>
      <c r="C22" s="318"/>
      <c r="D22" s="319" t="s">
        <v>34</v>
      </c>
      <c r="E22" s="444">
        <f>E23</f>
        <v>0</v>
      </c>
      <c r="F22" s="444">
        <f>F23</f>
        <v>0</v>
      </c>
      <c r="G22" s="444">
        <f>G23</f>
        <v>0</v>
      </c>
      <c r="H22" s="509" t="e">
        <f t="shared" si="1"/>
        <v>#DIV/0!</v>
      </c>
    </row>
    <row r="23" spans="1:257" ht="33.75" hidden="1">
      <c r="A23" s="754"/>
      <c r="B23" s="282"/>
      <c r="C23" s="482">
        <v>6430</v>
      </c>
      <c r="D23" s="250" t="s">
        <v>35</v>
      </c>
      <c r="E23" s="443">
        <v>0</v>
      </c>
      <c r="F23" s="443">
        <v>0</v>
      </c>
      <c r="G23" s="443">
        <v>0</v>
      </c>
      <c r="H23" s="509" t="e">
        <f t="shared" si="1"/>
        <v>#DIV/0!</v>
      </c>
    </row>
    <row r="24" spans="1:257">
      <c r="A24" s="320">
        <v>150</v>
      </c>
      <c r="B24" s="321"/>
      <c r="C24" s="322"/>
      <c r="D24" s="323" t="s">
        <v>33</v>
      </c>
      <c r="E24" s="445">
        <f>E25</f>
        <v>5850</v>
      </c>
      <c r="F24" s="445">
        <f>F25</f>
        <v>5853.14</v>
      </c>
      <c r="G24" s="445">
        <f>G25</f>
        <v>0</v>
      </c>
      <c r="H24" s="508">
        <f t="shared" si="1"/>
        <v>100.05367521367521</v>
      </c>
    </row>
    <row r="25" spans="1:257">
      <c r="A25" s="325"/>
      <c r="B25" s="326">
        <v>15011</v>
      </c>
      <c r="C25" s="482"/>
      <c r="D25" s="250" t="s">
        <v>34</v>
      </c>
      <c r="E25" s="443">
        <f>E26+E27</f>
        <v>5850</v>
      </c>
      <c r="F25" s="443">
        <f>F26+F27</f>
        <v>5853.14</v>
      </c>
      <c r="G25" s="443">
        <f>G26+G27</f>
        <v>0</v>
      </c>
      <c r="H25" s="509">
        <f t="shared" si="1"/>
        <v>100.05367521367521</v>
      </c>
    </row>
    <row r="26" spans="1:257">
      <c r="A26" s="327"/>
      <c r="B26" s="748"/>
      <c r="C26" s="328" t="s">
        <v>42</v>
      </c>
      <c r="D26" s="250" t="s">
        <v>43</v>
      </c>
      <c r="E26" s="443">
        <v>0</v>
      </c>
      <c r="F26" s="443">
        <v>3.14</v>
      </c>
      <c r="G26" s="443">
        <v>0</v>
      </c>
      <c r="H26" s="509"/>
    </row>
    <row r="27" spans="1:257" ht="34.5" customHeight="1">
      <c r="A27" s="329"/>
      <c r="B27" s="750"/>
      <c r="C27" s="330">
        <v>2708</v>
      </c>
      <c r="D27" s="250" t="s">
        <v>347</v>
      </c>
      <c r="E27" s="443">
        <v>5850</v>
      </c>
      <c r="F27" s="443">
        <v>5850</v>
      </c>
      <c r="G27" s="443">
        <v>0</v>
      </c>
      <c r="H27" s="509">
        <f t="shared" si="1"/>
        <v>100</v>
      </c>
    </row>
    <row r="28" spans="1:257" s="3" customFormat="1">
      <c r="A28" s="332">
        <v>600</v>
      </c>
      <c r="B28" s="332"/>
      <c r="C28" s="161"/>
      <c r="D28" s="315" t="s">
        <v>36</v>
      </c>
      <c r="E28" s="442">
        <f>E29+E39</f>
        <v>1843272</v>
      </c>
      <c r="F28" s="442">
        <f>F29+F39</f>
        <v>207894.15999999997</v>
      </c>
      <c r="G28" s="442">
        <f>G29+G39</f>
        <v>1597214</v>
      </c>
      <c r="H28" s="508">
        <f t="shared" si="1"/>
        <v>97.929560043227468</v>
      </c>
      <c r="IO28"/>
      <c r="IP28"/>
      <c r="IQ28"/>
      <c r="IR28"/>
      <c r="IS28"/>
      <c r="IT28"/>
      <c r="IU28"/>
      <c r="IV28"/>
      <c r="IW28"/>
    </row>
    <row r="29" spans="1:257" s="4" customFormat="1">
      <c r="A29" s="748"/>
      <c r="B29" s="282">
        <v>60014</v>
      </c>
      <c r="C29" s="482"/>
      <c r="D29" s="250" t="s">
        <v>37</v>
      </c>
      <c r="E29" s="443">
        <f>SUM(E30:E38)</f>
        <v>1843272</v>
      </c>
      <c r="F29" s="443">
        <f>SUM(F30:F38)</f>
        <v>207794.15999999997</v>
      </c>
      <c r="G29" s="443">
        <f>SUM(G30:G38)</f>
        <v>1597214</v>
      </c>
      <c r="H29" s="509">
        <f t="shared" si="1"/>
        <v>97.924134907924596</v>
      </c>
      <c r="IO29"/>
      <c r="IP29"/>
      <c r="IQ29"/>
      <c r="IR29"/>
      <c r="IS29"/>
      <c r="IT29"/>
      <c r="IU29"/>
      <c r="IV29"/>
      <c r="IW29"/>
    </row>
    <row r="30" spans="1:257" ht="54" customHeight="1">
      <c r="A30" s="749"/>
      <c r="B30" s="748"/>
      <c r="C30" s="482" t="s">
        <v>31</v>
      </c>
      <c r="D30" s="250" t="s">
        <v>117</v>
      </c>
      <c r="E30" s="443">
        <v>5100</v>
      </c>
      <c r="F30" s="443">
        <v>5100</v>
      </c>
      <c r="G30" s="443">
        <v>0</v>
      </c>
      <c r="H30" s="509">
        <f t="shared" si="1"/>
        <v>100</v>
      </c>
    </row>
    <row r="31" spans="1:257">
      <c r="A31" s="749"/>
      <c r="B31" s="749"/>
      <c r="C31" s="482" t="s">
        <v>40</v>
      </c>
      <c r="D31" s="250" t="s">
        <v>41</v>
      </c>
      <c r="E31" s="443">
        <v>627</v>
      </c>
      <c r="F31" s="443">
        <v>627.65</v>
      </c>
      <c r="G31" s="443">
        <v>0</v>
      </c>
      <c r="H31" s="509">
        <f t="shared" si="1"/>
        <v>100.103668261563</v>
      </c>
    </row>
    <row r="32" spans="1:257" ht="24.75" customHeight="1">
      <c r="A32" s="749"/>
      <c r="B32" s="749"/>
      <c r="C32" s="314" t="s">
        <v>116</v>
      </c>
      <c r="D32" s="250" t="s">
        <v>343</v>
      </c>
      <c r="E32" s="443">
        <v>0</v>
      </c>
      <c r="F32" s="443">
        <v>10.9</v>
      </c>
      <c r="G32" s="443">
        <v>0</v>
      </c>
      <c r="H32" s="509"/>
    </row>
    <row r="33" spans="1:257" ht="12.75" customHeight="1">
      <c r="A33" s="749"/>
      <c r="B33" s="749"/>
      <c r="C33" s="482" t="s">
        <v>42</v>
      </c>
      <c r="D33" s="250" t="s">
        <v>43</v>
      </c>
      <c r="E33" s="443">
        <v>1043</v>
      </c>
      <c r="F33" s="443">
        <v>3144.76</v>
      </c>
      <c r="G33" s="443">
        <v>0</v>
      </c>
      <c r="H33" s="509">
        <f t="shared" si="1"/>
        <v>301.51102588686484</v>
      </c>
    </row>
    <row r="34" spans="1:257" ht="12.75" customHeight="1">
      <c r="A34" s="749"/>
      <c r="B34" s="749"/>
      <c r="C34" s="482" t="s">
        <v>27</v>
      </c>
      <c r="D34" s="250" t="s">
        <v>28</v>
      </c>
      <c r="E34" s="443">
        <f>134899+49389</f>
        <v>184288</v>
      </c>
      <c r="F34" s="443">
        <f>134958.49+8952.36</f>
        <v>143910.84999999998</v>
      </c>
      <c r="G34" s="443">
        <v>0</v>
      </c>
      <c r="H34" s="509">
        <f t="shared" si="1"/>
        <v>78.090190354228156</v>
      </c>
    </row>
    <row r="35" spans="1:257" ht="35.25" customHeight="1">
      <c r="A35" s="749"/>
      <c r="B35" s="749"/>
      <c r="C35" s="482">
        <v>2440</v>
      </c>
      <c r="D35" s="250" t="s">
        <v>60</v>
      </c>
      <c r="E35" s="443">
        <v>35000</v>
      </c>
      <c r="F35" s="443">
        <v>35000</v>
      </c>
      <c r="G35" s="443">
        <v>0</v>
      </c>
      <c r="H35" s="509">
        <f t="shared" si="1"/>
        <v>100</v>
      </c>
    </row>
    <row r="36" spans="1:257" ht="34.5" customHeight="1">
      <c r="A36" s="749"/>
      <c r="B36" s="749"/>
      <c r="C36" s="482">
        <v>2710</v>
      </c>
      <c r="D36" s="338" t="s">
        <v>407</v>
      </c>
      <c r="E36" s="443">
        <v>20000</v>
      </c>
      <c r="F36" s="443">
        <v>20000</v>
      </c>
      <c r="G36" s="443">
        <v>0</v>
      </c>
      <c r="H36" s="509">
        <f t="shared" si="1"/>
        <v>100</v>
      </c>
    </row>
    <row r="37" spans="1:257" ht="45.75" customHeight="1">
      <c r="A37" s="749"/>
      <c r="B37" s="749"/>
      <c r="C37" s="482">
        <v>6300</v>
      </c>
      <c r="D37" s="250" t="s">
        <v>523</v>
      </c>
      <c r="E37" s="443">
        <v>100000</v>
      </c>
      <c r="F37" s="443">
        <v>0</v>
      </c>
      <c r="G37" s="443">
        <v>100000</v>
      </c>
      <c r="H37" s="509">
        <f t="shared" si="1"/>
        <v>100</v>
      </c>
    </row>
    <row r="38" spans="1:257" ht="33.75">
      <c r="A38" s="749"/>
      <c r="B38" s="750"/>
      <c r="C38" s="482">
        <v>6430</v>
      </c>
      <c r="D38" s="250" t="s">
        <v>519</v>
      </c>
      <c r="E38" s="443">
        <v>1497214</v>
      </c>
      <c r="F38" s="443">
        <v>0</v>
      </c>
      <c r="G38" s="443">
        <v>1497214</v>
      </c>
      <c r="H38" s="509">
        <f t="shared" si="1"/>
        <v>100</v>
      </c>
    </row>
    <row r="39" spans="1:257">
      <c r="A39" s="749"/>
      <c r="B39" s="468">
        <v>60095</v>
      </c>
      <c r="C39" s="482"/>
      <c r="D39" s="250" t="s">
        <v>88</v>
      </c>
      <c r="E39" s="443">
        <v>0</v>
      </c>
      <c r="F39" s="443">
        <f>F40</f>
        <v>100</v>
      </c>
      <c r="G39" s="443">
        <v>0</v>
      </c>
      <c r="H39" s="509"/>
    </row>
    <row r="40" spans="1:257" ht="35.25" customHeight="1">
      <c r="A40" s="750"/>
      <c r="B40" s="468"/>
      <c r="C40" s="482">
        <v>2360</v>
      </c>
      <c r="D40" s="250" t="s">
        <v>22</v>
      </c>
      <c r="E40" s="443">
        <v>0</v>
      </c>
      <c r="F40" s="443">
        <v>100</v>
      </c>
      <c r="G40" s="443">
        <v>0</v>
      </c>
      <c r="H40" s="509"/>
    </row>
    <row r="41" spans="1:257" ht="12.75" customHeight="1">
      <c r="A41" s="161">
        <v>700</v>
      </c>
      <c r="B41" s="161"/>
      <c r="C41" s="161"/>
      <c r="D41" s="315" t="s">
        <v>44</v>
      </c>
      <c r="E41" s="442">
        <f>E42</f>
        <v>1146344</v>
      </c>
      <c r="F41" s="442">
        <f>F42</f>
        <v>151171.85000000003</v>
      </c>
      <c r="G41" s="442">
        <f>G42</f>
        <v>1032059.81</v>
      </c>
      <c r="H41" s="508">
        <f t="shared" si="1"/>
        <v>103.21785258177303</v>
      </c>
    </row>
    <row r="42" spans="1:257">
      <c r="A42" s="744" t="s">
        <v>16</v>
      </c>
      <c r="B42" s="282">
        <v>70005</v>
      </c>
      <c r="C42" s="482"/>
      <c r="D42" s="250" t="s">
        <v>45</v>
      </c>
      <c r="E42" s="443">
        <f>SUM(E43:E50)</f>
        <v>1146344</v>
      </c>
      <c r="F42" s="443">
        <f>SUM(F43:F50)</f>
        <v>151171.85000000003</v>
      </c>
      <c r="G42" s="443">
        <f>SUM(G43:G50)</f>
        <v>1032059.81</v>
      </c>
      <c r="H42" s="509">
        <f t="shared" si="1"/>
        <v>103.21785258177303</v>
      </c>
    </row>
    <row r="43" spans="1:257" ht="22.5">
      <c r="A43" s="744"/>
      <c r="B43" s="744"/>
      <c r="C43" s="482" t="s">
        <v>46</v>
      </c>
      <c r="D43" s="250" t="s">
        <v>47</v>
      </c>
      <c r="E43" s="443">
        <v>10300</v>
      </c>
      <c r="F43" s="443">
        <v>10542.69</v>
      </c>
      <c r="G43" s="443">
        <v>0</v>
      </c>
      <c r="H43" s="509">
        <f t="shared" si="1"/>
        <v>102.35621359223302</v>
      </c>
    </row>
    <row r="44" spans="1:257" ht="46.5" customHeight="1">
      <c r="A44" s="744"/>
      <c r="B44" s="744"/>
      <c r="C44" s="482" t="s">
        <v>31</v>
      </c>
      <c r="D44" s="250" t="s">
        <v>117</v>
      </c>
      <c r="E44" s="443">
        <v>51464</v>
      </c>
      <c r="F44" s="443">
        <v>34130.97</v>
      </c>
      <c r="G44" s="443">
        <v>0</v>
      </c>
      <c r="H44" s="509">
        <f t="shared" si="1"/>
        <v>66.320087828384885</v>
      </c>
    </row>
    <row r="45" spans="1:257" ht="21.75" customHeight="1">
      <c r="A45" s="744"/>
      <c r="B45" s="744"/>
      <c r="C45" s="482" t="s">
        <v>48</v>
      </c>
      <c r="D45" s="250" t="s">
        <v>118</v>
      </c>
      <c r="E45" s="443">
        <v>978303</v>
      </c>
      <c r="F45" s="443">
        <v>0</v>
      </c>
      <c r="G45" s="443">
        <v>1032059.81</v>
      </c>
      <c r="H45" s="509">
        <f t="shared" si="1"/>
        <v>105.49490393058183</v>
      </c>
    </row>
    <row r="46" spans="1:257" ht="21.75" customHeight="1">
      <c r="A46" s="744"/>
      <c r="B46" s="744"/>
      <c r="C46" s="314" t="s">
        <v>116</v>
      </c>
      <c r="D46" s="250" t="s">
        <v>343</v>
      </c>
      <c r="E46" s="443">
        <v>0</v>
      </c>
      <c r="F46" s="443">
        <v>71.55</v>
      </c>
      <c r="G46" s="443">
        <v>0</v>
      </c>
      <c r="H46" s="509"/>
    </row>
    <row r="47" spans="1:257" s="3" customFormat="1">
      <c r="A47" s="744"/>
      <c r="B47" s="744"/>
      <c r="C47" s="482" t="s">
        <v>42</v>
      </c>
      <c r="D47" s="250" t="s">
        <v>43</v>
      </c>
      <c r="E47" s="443">
        <v>2449</v>
      </c>
      <c r="F47" s="443">
        <v>7698.51</v>
      </c>
      <c r="G47" s="443">
        <v>0</v>
      </c>
      <c r="H47" s="509">
        <f t="shared" si="1"/>
        <v>314.35320538995512</v>
      </c>
      <c r="IO47"/>
      <c r="IP47"/>
      <c r="IQ47"/>
      <c r="IR47"/>
      <c r="IS47"/>
      <c r="IT47"/>
      <c r="IU47"/>
      <c r="IV47"/>
      <c r="IW47"/>
    </row>
    <row r="48" spans="1:257" s="4" customFormat="1">
      <c r="A48" s="744"/>
      <c r="B48" s="744"/>
      <c r="C48" s="482" t="s">
        <v>27</v>
      </c>
      <c r="D48" s="250" t="s">
        <v>28</v>
      </c>
      <c r="E48" s="443">
        <v>7178</v>
      </c>
      <c r="F48" s="443">
        <v>7430.3</v>
      </c>
      <c r="G48" s="443">
        <v>0</v>
      </c>
      <c r="H48" s="509">
        <f t="shared" si="1"/>
        <v>103.51490665923654</v>
      </c>
      <c r="IO48"/>
      <c r="IP48"/>
      <c r="IQ48"/>
      <c r="IR48"/>
      <c r="IS48"/>
      <c r="IT48"/>
      <c r="IU48"/>
      <c r="IV48"/>
      <c r="IW48"/>
    </row>
    <row r="49" spans="1:257" s="4" customFormat="1" ht="33.75">
      <c r="A49" s="744"/>
      <c r="B49" s="744"/>
      <c r="C49" s="482">
        <v>2110</v>
      </c>
      <c r="D49" s="250" t="s">
        <v>19</v>
      </c>
      <c r="E49" s="443">
        <v>16650</v>
      </c>
      <c r="F49" s="443">
        <v>16629.78</v>
      </c>
      <c r="G49" s="443">
        <v>0</v>
      </c>
      <c r="H49" s="509">
        <f t="shared" si="1"/>
        <v>99.878558558558552</v>
      </c>
      <c r="IO49"/>
      <c r="IP49"/>
      <c r="IQ49"/>
      <c r="IR49"/>
      <c r="IS49"/>
      <c r="IT49"/>
      <c r="IU49"/>
      <c r="IV49"/>
      <c r="IW49"/>
    </row>
    <row r="50" spans="1:257" s="4" customFormat="1" ht="32.25" customHeight="1">
      <c r="A50" s="744"/>
      <c r="B50" s="744"/>
      <c r="C50" s="482">
        <v>2360</v>
      </c>
      <c r="D50" s="250" t="s">
        <v>22</v>
      </c>
      <c r="E50" s="443">
        <v>80000</v>
      </c>
      <c r="F50" s="443">
        <f>74659.3+8.75</f>
        <v>74668.05</v>
      </c>
      <c r="G50" s="443">
        <v>0</v>
      </c>
      <c r="H50" s="509">
        <f t="shared" si="1"/>
        <v>93.335062499999992</v>
      </c>
      <c r="IO50"/>
      <c r="IP50"/>
      <c r="IQ50"/>
      <c r="IR50"/>
      <c r="IS50"/>
      <c r="IT50"/>
      <c r="IU50"/>
      <c r="IV50"/>
      <c r="IW50"/>
    </row>
    <row r="51" spans="1:257" s="4" customFormat="1">
      <c r="A51" s="312">
        <v>710</v>
      </c>
      <c r="B51" s="312"/>
      <c r="C51" s="161"/>
      <c r="D51" s="315" t="s">
        <v>50</v>
      </c>
      <c r="E51" s="442">
        <f>E52+E54+E56</f>
        <v>347167</v>
      </c>
      <c r="F51" s="442">
        <f>F52+F54+F56</f>
        <v>347351.16000000003</v>
      </c>
      <c r="G51" s="442">
        <f>G52+G54+G56</f>
        <v>0</v>
      </c>
      <c r="H51" s="508">
        <f t="shared" si="1"/>
        <v>100.05304651651801</v>
      </c>
      <c r="IO51"/>
      <c r="IP51"/>
      <c r="IQ51"/>
      <c r="IR51"/>
      <c r="IS51"/>
      <c r="IT51"/>
      <c r="IU51"/>
      <c r="IV51"/>
      <c r="IW51"/>
    </row>
    <row r="52" spans="1:257" s="4" customFormat="1" ht="12.75" customHeight="1">
      <c r="A52" s="743" t="s">
        <v>16</v>
      </c>
      <c r="B52" s="283">
        <v>71013</v>
      </c>
      <c r="C52" s="482"/>
      <c r="D52" s="250" t="s">
        <v>335</v>
      </c>
      <c r="E52" s="443">
        <f>E53</f>
        <v>58000</v>
      </c>
      <c r="F52" s="443">
        <f>F53</f>
        <v>58000</v>
      </c>
      <c r="G52" s="443">
        <f>G53</f>
        <v>0</v>
      </c>
      <c r="H52" s="509">
        <f t="shared" si="1"/>
        <v>100</v>
      </c>
      <c r="IO52"/>
      <c r="IP52"/>
      <c r="IQ52"/>
      <c r="IR52"/>
      <c r="IS52"/>
      <c r="IT52"/>
      <c r="IU52"/>
      <c r="IV52"/>
      <c r="IW52"/>
    </row>
    <row r="53" spans="1:257" ht="33.75">
      <c r="A53" s="743"/>
      <c r="B53" s="283"/>
      <c r="C53" s="482">
        <v>2110</v>
      </c>
      <c r="D53" s="250" t="s">
        <v>19</v>
      </c>
      <c r="E53" s="443">
        <v>58000</v>
      </c>
      <c r="F53" s="443">
        <v>58000</v>
      </c>
      <c r="G53" s="443">
        <v>0</v>
      </c>
      <c r="H53" s="509">
        <f t="shared" si="1"/>
        <v>100</v>
      </c>
    </row>
    <row r="54" spans="1:257">
      <c r="A54" s="743"/>
      <c r="B54" s="283">
        <v>71014</v>
      </c>
      <c r="C54" s="482"/>
      <c r="D54" s="250" t="s">
        <v>51</v>
      </c>
      <c r="E54" s="443">
        <f>E55</f>
        <v>17000</v>
      </c>
      <c r="F54" s="443">
        <f>F55</f>
        <v>17000</v>
      </c>
      <c r="G54" s="443">
        <f>G55</f>
        <v>0</v>
      </c>
      <c r="H54" s="509">
        <f t="shared" si="1"/>
        <v>100</v>
      </c>
    </row>
    <row r="55" spans="1:257" ht="33.75">
      <c r="A55" s="743"/>
      <c r="B55" s="283"/>
      <c r="C55" s="482">
        <v>2110</v>
      </c>
      <c r="D55" s="250" t="s">
        <v>19</v>
      </c>
      <c r="E55" s="443">
        <v>17000</v>
      </c>
      <c r="F55" s="443">
        <v>17000</v>
      </c>
      <c r="G55" s="443">
        <v>0</v>
      </c>
      <c r="H55" s="509">
        <f t="shared" si="1"/>
        <v>100</v>
      </c>
    </row>
    <row r="56" spans="1:257">
      <c r="A56" s="743"/>
      <c r="B56" s="283">
        <v>71015</v>
      </c>
      <c r="C56" s="482"/>
      <c r="D56" s="250" t="s">
        <v>52</v>
      </c>
      <c r="E56" s="443">
        <f>E59+E60+E58</f>
        <v>272167</v>
      </c>
      <c r="F56" s="443">
        <f>F59+F60+F58+F57</f>
        <v>272351.16000000003</v>
      </c>
      <c r="G56" s="443">
        <f>G59+G60+G58+G57</f>
        <v>0</v>
      </c>
      <c r="H56" s="509">
        <f t="shared" si="1"/>
        <v>100.06766433843927</v>
      </c>
    </row>
    <row r="57" spans="1:257" ht="12.75" customHeight="1">
      <c r="A57" s="743"/>
      <c r="B57" s="743"/>
      <c r="C57" s="482" t="s">
        <v>38</v>
      </c>
      <c r="D57" s="440" t="s">
        <v>39</v>
      </c>
      <c r="E57" s="443">
        <v>0</v>
      </c>
      <c r="F57" s="443">
        <v>52.8</v>
      </c>
      <c r="G57" s="443">
        <v>0</v>
      </c>
      <c r="H57" s="509"/>
    </row>
    <row r="58" spans="1:257">
      <c r="A58" s="743"/>
      <c r="B58" s="743"/>
      <c r="C58" s="482" t="s">
        <v>42</v>
      </c>
      <c r="D58" s="250" t="s">
        <v>43</v>
      </c>
      <c r="E58" s="443">
        <v>0</v>
      </c>
      <c r="F58" s="443">
        <v>338.28</v>
      </c>
      <c r="G58" s="443">
        <v>0</v>
      </c>
      <c r="H58" s="509"/>
    </row>
    <row r="59" spans="1:257" s="4" customFormat="1" ht="33.75">
      <c r="A59" s="743"/>
      <c r="B59" s="743"/>
      <c r="C59" s="482">
        <v>2110</v>
      </c>
      <c r="D59" s="250" t="s">
        <v>19</v>
      </c>
      <c r="E59" s="443">
        <v>272167</v>
      </c>
      <c r="F59" s="443">
        <v>271955.08</v>
      </c>
      <c r="G59" s="443">
        <v>0</v>
      </c>
      <c r="H59" s="509">
        <f t="shared" si="1"/>
        <v>99.922136041474545</v>
      </c>
      <c r="IO59"/>
      <c r="IP59"/>
      <c r="IQ59"/>
      <c r="IR59"/>
      <c r="IS59"/>
      <c r="IT59"/>
      <c r="IU59"/>
      <c r="IV59"/>
      <c r="IW59"/>
    </row>
    <row r="60" spans="1:257" ht="33.75" customHeight="1">
      <c r="A60" s="743"/>
      <c r="B60" s="743"/>
      <c r="C60" s="482">
        <v>2360</v>
      </c>
      <c r="D60" s="250" t="s">
        <v>22</v>
      </c>
      <c r="E60" s="443">
        <v>0</v>
      </c>
      <c r="F60" s="443">
        <v>5</v>
      </c>
      <c r="G60" s="443">
        <v>0</v>
      </c>
      <c r="H60" s="509"/>
    </row>
    <row r="61" spans="1:257">
      <c r="A61" s="312">
        <v>750</v>
      </c>
      <c r="B61" s="312"/>
      <c r="C61" s="161"/>
      <c r="D61" s="315" t="s">
        <v>53</v>
      </c>
      <c r="E61" s="442">
        <f>E62+E64+E70+E73</f>
        <v>351464</v>
      </c>
      <c r="F61" s="442">
        <f>F62+F64+F70+F73</f>
        <v>382470.06</v>
      </c>
      <c r="G61" s="442">
        <f>G62+G64+G70+G73</f>
        <v>0</v>
      </c>
      <c r="H61" s="508">
        <f t="shared" si="1"/>
        <v>108.82197323196685</v>
      </c>
    </row>
    <row r="62" spans="1:257" s="3" customFormat="1">
      <c r="A62" s="743" t="s">
        <v>16</v>
      </c>
      <c r="B62" s="283">
        <v>75011</v>
      </c>
      <c r="C62" s="482"/>
      <c r="D62" s="250" t="s">
        <v>54</v>
      </c>
      <c r="E62" s="443">
        <f>E63</f>
        <v>104200</v>
      </c>
      <c r="F62" s="443">
        <f>F63</f>
        <v>104200</v>
      </c>
      <c r="G62" s="443">
        <f>G63</f>
        <v>0</v>
      </c>
      <c r="H62" s="509">
        <f t="shared" si="1"/>
        <v>100</v>
      </c>
      <c r="IO62"/>
      <c r="IP62"/>
      <c r="IQ62"/>
      <c r="IR62"/>
      <c r="IS62"/>
      <c r="IT62"/>
      <c r="IU62"/>
      <c r="IV62"/>
      <c r="IW62"/>
    </row>
    <row r="63" spans="1:257" ht="33.75">
      <c r="A63" s="743"/>
      <c r="B63" s="283"/>
      <c r="C63" s="482">
        <v>2110</v>
      </c>
      <c r="D63" s="250" t="s">
        <v>19</v>
      </c>
      <c r="E63" s="443">
        <v>104200</v>
      </c>
      <c r="F63" s="443">
        <v>104200</v>
      </c>
      <c r="G63" s="443">
        <v>0</v>
      </c>
      <c r="H63" s="509">
        <f t="shared" si="1"/>
        <v>100</v>
      </c>
    </row>
    <row r="64" spans="1:257" s="4" customFormat="1">
      <c r="A64" s="743"/>
      <c r="B64" s="283">
        <v>75020</v>
      </c>
      <c r="C64" s="482"/>
      <c r="D64" s="250" t="s">
        <v>56</v>
      </c>
      <c r="E64" s="443">
        <f>SUM(E65:E69)</f>
        <v>219504</v>
      </c>
      <c r="F64" s="443">
        <f>SUM(F65:F69)</f>
        <v>260511.87</v>
      </c>
      <c r="G64" s="443">
        <f>SUM(G65:G69)</f>
        <v>0</v>
      </c>
      <c r="H64" s="509">
        <f t="shared" si="1"/>
        <v>118.68206046359064</v>
      </c>
      <c r="IO64"/>
      <c r="IP64"/>
      <c r="IQ64"/>
      <c r="IR64"/>
      <c r="IS64"/>
      <c r="IT64"/>
      <c r="IU64"/>
      <c r="IV64"/>
      <c r="IW64"/>
    </row>
    <row r="65" spans="1:257" s="4" customFormat="1">
      <c r="A65" s="743"/>
      <c r="B65" s="743"/>
      <c r="C65" s="482" t="s">
        <v>38</v>
      </c>
      <c r="D65" s="440" t="s">
        <v>39</v>
      </c>
      <c r="E65" s="443">
        <v>0</v>
      </c>
      <c r="F65" s="443">
        <v>1241.1199999999999</v>
      </c>
      <c r="G65" s="443">
        <v>0</v>
      </c>
      <c r="H65" s="509"/>
      <c r="IO65"/>
      <c r="IP65"/>
      <c r="IQ65"/>
      <c r="IR65"/>
      <c r="IS65"/>
      <c r="IT65"/>
      <c r="IU65"/>
      <c r="IV65"/>
      <c r="IW65"/>
    </row>
    <row r="66" spans="1:257" s="4" customFormat="1" ht="57" customHeight="1">
      <c r="A66" s="743"/>
      <c r="B66" s="743"/>
      <c r="C66" s="314" t="s">
        <v>31</v>
      </c>
      <c r="D66" s="250" t="s">
        <v>117</v>
      </c>
      <c r="E66" s="443">
        <v>11439</v>
      </c>
      <c r="F66" s="443">
        <v>17403.53</v>
      </c>
      <c r="G66" s="443">
        <v>0</v>
      </c>
      <c r="H66" s="509">
        <f t="shared" si="1"/>
        <v>152.14205787219163</v>
      </c>
      <c r="IO66"/>
      <c r="IP66"/>
      <c r="IQ66"/>
      <c r="IR66"/>
      <c r="IS66"/>
      <c r="IT66"/>
      <c r="IU66"/>
      <c r="IV66"/>
      <c r="IW66"/>
    </row>
    <row r="67" spans="1:257">
      <c r="A67" s="743"/>
      <c r="B67" s="743"/>
      <c r="C67" s="314" t="s">
        <v>42</v>
      </c>
      <c r="D67" s="250" t="s">
        <v>43</v>
      </c>
      <c r="E67" s="443">
        <v>0</v>
      </c>
      <c r="F67" s="443">
        <v>5.78</v>
      </c>
      <c r="G67" s="443">
        <v>0</v>
      </c>
      <c r="H67" s="509"/>
    </row>
    <row r="68" spans="1:257">
      <c r="A68" s="743"/>
      <c r="B68" s="743"/>
      <c r="C68" s="482" t="s">
        <v>27</v>
      </c>
      <c r="D68" s="250" t="s">
        <v>28</v>
      </c>
      <c r="E68" s="443">
        <v>58065</v>
      </c>
      <c r="F68" s="443">
        <v>91861.440000000002</v>
      </c>
      <c r="G68" s="443">
        <v>0</v>
      </c>
      <c r="H68" s="509">
        <f t="shared" si="1"/>
        <v>158.20449496254199</v>
      </c>
    </row>
    <row r="69" spans="1:257" ht="33" customHeight="1">
      <c r="A69" s="743"/>
      <c r="B69" s="743"/>
      <c r="C69" s="482">
        <v>2440</v>
      </c>
      <c r="D69" s="250" t="s">
        <v>60</v>
      </c>
      <c r="E69" s="443">
        <v>150000</v>
      </c>
      <c r="F69" s="443">
        <v>150000</v>
      </c>
      <c r="G69" s="443">
        <v>0</v>
      </c>
      <c r="H69" s="509">
        <f t="shared" si="1"/>
        <v>100</v>
      </c>
    </row>
    <row r="70" spans="1:257" s="4" customFormat="1" ht="14.25" customHeight="1">
      <c r="A70" s="743"/>
      <c r="B70" s="283">
        <v>75045</v>
      </c>
      <c r="C70" s="482"/>
      <c r="D70" s="250" t="s">
        <v>620</v>
      </c>
      <c r="E70" s="443">
        <f>E71+E72</f>
        <v>16760</v>
      </c>
      <c r="F70" s="443">
        <f>F71+F72</f>
        <v>16758.190000000002</v>
      </c>
      <c r="G70" s="443">
        <f>G71</f>
        <v>0</v>
      </c>
      <c r="H70" s="509">
        <f t="shared" si="1"/>
        <v>99.989200477326975</v>
      </c>
      <c r="IO70"/>
      <c r="IP70"/>
      <c r="IQ70"/>
      <c r="IR70"/>
      <c r="IS70"/>
      <c r="IT70"/>
      <c r="IU70"/>
      <c r="IV70"/>
      <c r="IW70"/>
    </row>
    <row r="71" spans="1:257" ht="33.75">
      <c r="A71" s="743"/>
      <c r="B71" s="748"/>
      <c r="C71" s="482">
        <v>2110</v>
      </c>
      <c r="D71" s="250" t="s">
        <v>19</v>
      </c>
      <c r="E71" s="443">
        <v>16378</v>
      </c>
      <c r="F71" s="443">
        <v>16376.19</v>
      </c>
      <c r="G71" s="443">
        <v>0</v>
      </c>
      <c r="H71" s="509">
        <f t="shared" si="1"/>
        <v>99.988948589571379</v>
      </c>
    </row>
    <row r="72" spans="1:257" ht="45">
      <c r="A72" s="743"/>
      <c r="B72" s="750"/>
      <c r="C72" s="482">
        <v>2120</v>
      </c>
      <c r="D72" s="250" t="s">
        <v>521</v>
      </c>
      <c r="E72" s="443">
        <v>382</v>
      </c>
      <c r="F72" s="443">
        <v>382</v>
      </c>
      <c r="G72" s="443">
        <v>0</v>
      </c>
      <c r="H72" s="509">
        <f t="shared" si="1"/>
        <v>100</v>
      </c>
    </row>
    <row r="73" spans="1:257" ht="12" customHeight="1">
      <c r="A73" s="743"/>
      <c r="B73" s="282">
        <v>75075</v>
      </c>
      <c r="C73" s="482"/>
      <c r="D73" s="250" t="s">
        <v>137</v>
      </c>
      <c r="E73" s="443">
        <f>E74</f>
        <v>11000</v>
      </c>
      <c r="F73" s="443">
        <f>F74</f>
        <v>1000</v>
      </c>
      <c r="G73" s="443">
        <f>G74</f>
        <v>0</v>
      </c>
      <c r="H73" s="509">
        <f t="shared" si="1"/>
        <v>9.0909090909090917</v>
      </c>
    </row>
    <row r="74" spans="1:257" ht="33" customHeight="1">
      <c r="A74" s="743"/>
      <c r="B74" s="282"/>
      <c r="C74" s="482">
        <v>2700</v>
      </c>
      <c r="D74" s="250" t="s">
        <v>347</v>
      </c>
      <c r="E74" s="443">
        <v>11000</v>
      </c>
      <c r="F74" s="443">
        <v>1000</v>
      </c>
      <c r="G74" s="443">
        <v>0</v>
      </c>
      <c r="H74" s="509">
        <f t="shared" si="1"/>
        <v>9.0909090909090917</v>
      </c>
    </row>
    <row r="75" spans="1:257" s="3" customFormat="1" ht="31.5" hidden="1">
      <c r="A75" s="312">
        <v>751</v>
      </c>
      <c r="B75" s="161"/>
      <c r="C75" s="161"/>
      <c r="D75" s="315" t="s">
        <v>61</v>
      </c>
      <c r="E75" s="442">
        <f t="shared" ref="E75:G76" si="2">E76</f>
        <v>0</v>
      </c>
      <c r="F75" s="442">
        <f t="shared" si="2"/>
        <v>0</v>
      </c>
      <c r="G75" s="442">
        <f t="shared" si="2"/>
        <v>0</v>
      </c>
      <c r="H75" s="509" t="e">
        <f t="shared" si="1"/>
        <v>#DIV/0!</v>
      </c>
      <c r="IO75"/>
      <c r="IP75"/>
      <c r="IQ75"/>
      <c r="IR75"/>
      <c r="IS75"/>
      <c r="IT75"/>
      <c r="IU75"/>
      <c r="IV75"/>
      <c r="IW75"/>
    </row>
    <row r="76" spans="1:257" s="4" customFormat="1" ht="33.75" hidden="1">
      <c r="A76" s="743"/>
      <c r="B76" s="282">
        <v>75109</v>
      </c>
      <c r="C76" s="482"/>
      <c r="D76" s="250" t="s">
        <v>62</v>
      </c>
      <c r="E76" s="443">
        <f t="shared" si="2"/>
        <v>0</v>
      </c>
      <c r="F76" s="443">
        <f t="shared" si="2"/>
        <v>0</v>
      </c>
      <c r="G76" s="443">
        <f t="shared" si="2"/>
        <v>0</v>
      </c>
      <c r="H76" s="509" t="e">
        <f t="shared" si="1"/>
        <v>#DIV/0!</v>
      </c>
      <c r="IO76"/>
      <c r="IP76"/>
      <c r="IQ76"/>
      <c r="IR76"/>
      <c r="IS76"/>
      <c r="IT76"/>
      <c r="IU76"/>
      <c r="IV76"/>
      <c r="IW76"/>
    </row>
    <row r="77" spans="1:257" s="4" customFormat="1" ht="33.75" hidden="1">
      <c r="A77" s="743"/>
      <c r="B77" s="282"/>
      <c r="C77" s="482">
        <v>2110</v>
      </c>
      <c r="D77" s="250" t="s">
        <v>19</v>
      </c>
      <c r="E77" s="443"/>
      <c r="F77" s="443"/>
      <c r="G77" s="443"/>
      <c r="H77" s="509" t="e">
        <f t="shared" si="1"/>
        <v>#DIV/0!</v>
      </c>
      <c r="IO77"/>
      <c r="IP77"/>
      <c r="IQ77"/>
      <c r="IR77"/>
      <c r="IS77"/>
      <c r="IT77"/>
      <c r="IU77"/>
      <c r="IV77"/>
      <c r="IW77"/>
    </row>
    <row r="78" spans="1:257" s="4" customFormat="1" ht="21">
      <c r="A78" s="161">
        <v>754</v>
      </c>
      <c r="B78" s="161"/>
      <c r="C78" s="161"/>
      <c r="D78" s="315" t="s">
        <v>63</v>
      </c>
      <c r="E78" s="442">
        <f>SUM(E81+E88+E79)</f>
        <v>2996134</v>
      </c>
      <c r="F78" s="442">
        <f>SUM(F81+F88+F79)</f>
        <v>2959640.98</v>
      </c>
      <c r="G78" s="442">
        <f>SUM(G81+G88)</f>
        <v>41195.199999999997</v>
      </c>
      <c r="H78" s="508">
        <f t="shared" si="1"/>
        <v>100.15694157871444</v>
      </c>
      <c r="IO78"/>
      <c r="IP78"/>
      <c r="IQ78"/>
      <c r="IR78"/>
      <c r="IS78"/>
      <c r="IT78"/>
      <c r="IU78"/>
      <c r="IV78"/>
      <c r="IW78"/>
    </row>
    <row r="79" spans="1:257" s="4" customFormat="1">
      <c r="A79" s="748" t="s">
        <v>16</v>
      </c>
      <c r="B79" s="343">
        <v>75405</v>
      </c>
      <c r="C79" s="343"/>
      <c r="D79" s="250" t="s">
        <v>411</v>
      </c>
      <c r="E79" s="492">
        <f>E80</f>
        <v>22000</v>
      </c>
      <c r="F79" s="492">
        <f>F80</f>
        <v>22000</v>
      </c>
      <c r="G79" s="443">
        <v>0</v>
      </c>
      <c r="H79" s="509">
        <f t="shared" si="1"/>
        <v>100</v>
      </c>
      <c r="IO79"/>
      <c r="IP79"/>
      <c r="IQ79"/>
      <c r="IR79"/>
      <c r="IS79"/>
      <c r="IT79"/>
      <c r="IU79"/>
      <c r="IV79"/>
      <c r="IW79"/>
    </row>
    <row r="80" spans="1:257" s="4" customFormat="1" ht="22.5">
      <c r="A80" s="749"/>
      <c r="B80" s="343"/>
      <c r="C80" s="345" t="s">
        <v>82</v>
      </c>
      <c r="D80" s="333" t="s">
        <v>524</v>
      </c>
      <c r="E80" s="492">
        <v>22000</v>
      </c>
      <c r="F80" s="492">
        <v>22000</v>
      </c>
      <c r="G80" s="443">
        <v>0</v>
      </c>
      <c r="H80" s="509">
        <f t="shared" ref="H80" si="3">(G80+F80)/E80*100</f>
        <v>100</v>
      </c>
      <c r="IO80"/>
      <c r="IP80"/>
      <c r="IQ80"/>
      <c r="IR80"/>
      <c r="IS80"/>
      <c r="IT80"/>
      <c r="IU80"/>
      <c r="IV80"/>
      <c r="IW80"/>
    </row>
    <row r="81" spans="1:257" s="4" customFormat="1" ht="12.75" customHeight="1">
      <c r="A81" s="749"/>
      <c r="B81" s="282">
        <v>75411</v>
      </c>
      <c r="C81" s="482"/>
      <c r="D81" s="250" t="s">
        <v>64</v>
      </c>
      <c r="E81" s="443">
        <f>SUM(E82:E87)</f>
        <v>2968231</v>
      </c>
      <c r="F81" s="443">
        <f>SUM(F82:F87)</f>
        <v>2931738.26</v>
      </c>
      <c r="G81" s="443">
        <f>SUM(G82:G87)</f>
        <v>41195.199999999997</v>
      </c>
      <c r="H81" s="509">
        <f t="shared" ref="H81:H137" si="4">(G81+F81)/E81*100</f>
        <v>100.15842634889265</v>
      </c>
      <c r="IO81"/>
      <c r="IP81"/>
      <c r="IQ81"/>
      <c r="IR81"/>
      <c r="IS81"/>
      <c r="IT81"/>
      <c r="IU81"/>
      <c r="IV81"/>
      <c r="IW81"/>
    </row>
    <row r="82" spans="1:257" s="4" customFormat="1">
      <c r="A82" s="749"/>
      <c r="B82" s="744"/>
      <c r="C82" s="482" t="s">
        <v>42</v>
      </c>
      <c r="D82" s="250" t="s">
        <v>43</v>
      </c>
      <c r="E82" s="443">
        <v>0</v>
      </c>
      <c r="F82" s="443">
        <v>3992.23</v>
      </c>
      <c r="G82" s="443">
        <v>0</v>
      </c>
      <c r="H82" s="509"/>
      <c r="IO82"/>
      <c r="IP82"/>
      <c r="IQ82"/>
      <c r="IR82"/>
      <c r="IS82"/>
      <c r="IT82"/>
      <c r="IU82"/>
      <c r="IV82"/>
      <c r="IW82"/>
    </row>
    <row r="83" spans="1:257" s="4" customFormat="1">
      <c r="A83" s="749"/>
      <c r="B83" s="744"/>
      <c r="C83" s="314" t="s">
        <v>27</v>
      </c>
      <c r="D83" s="250" t="s">
        <v>28</v>
      </c>
      <c r="E83" s="443">
        <v>0</v>
      </c>
      <c r="F83" s="443">
        <v>756</v>
      </c>
      <c r="G83" s="443">
        <v>0</v>
      </c>
      <c r="H83" s="509"/>
      <c r="IO83"/>
      <c r="IP83"/>
      <c r="IQ83"/>
      <c r="IR83"/>
      <c r="IS83"/>
      <c r="IT83"/>
      <c r="IU83"/>
      <c r="IV83"/>
      <c r="IW83"/>
    </row>
    <row r="84" spans="1:257" s="4" customFormat="1" ht="33.75">
      <c r="A84" s="749"/>
      <c r="B84" s="744"/>
      <c r="C84" s="482">
        <v>2110</v>
      </c>
      <c r="D84" s="250" t="s">
        <v>19</v>
      </c>
      <c r="E84" s="443">
        <v>2920531</v>
      </c>
      <c r="F84" s="443">
        <v>2920521.86</v>
      </c>
      <c r="G84" s="443">
        <v>0</v>
      </c>
      <c r="H84" s="509">
        <f t="shared" si="4"/>
        <v>99.999687043212333</v>
      </c>
      <c r="IO84"/>
      <c r="IP84"/>
      <c r="IQ84"/>
      <c r="IR84"/>
      <c r="IS84"/>
      <c r="IT84"/>
      <c r="IU84"/>
      <c r="IV84"/>
      <c r="IW84"/>
    </row>
    <row r="85" spans="1:257" s="4" customFormat="1" ht="33.75" customHeight="1">
      <c r="A85" s="749"/>
      <c r="B85" s="744"/>
      <c r="C85" s="482">
        <v>2360</v>
      </c>
      <c r="D85" s="250" t="s">
        <v>22</v>
      </c>
      <c r="E85" s="443">
        <v>0</v>
      </c>
      <c r="F85" s="443">
        <v>4.76</v>
      </c>
      <c r="G85" s="443">
        <v>0</v>
      </c>
      <c r="H85" s="509"/>
      <c r="IO85"/>
      <c r="IP85"/>
      <c r="IQ85"/>
      <c r="IR85"/>
      <c r="IS85"/>
      <c r="IT85"/>
      <c r="IU85"/>
      <c r="IV85"/>
      <c r="IW85"/>
    </row>
    <row r="86" spans="1:257" s="4" customFormat="1" ht="45.75" customHeight="1">
      <c r="A86" s="749"/>
      <c r="B86" s="744"/>
      <c r="C86" s="482">
        <v>2710</v>
      </c>
      <c r="D86" s="338" t="s">
        <v>407</v>
      </c>
      <c r="E86" s="443">
        <v>6500</v>
      </c>
      <c r="F86" s="443">
        <v>6463.41</v>
      </c>
      <c r="G86" s="443">
        <v>0</v>
      </c>
      <c r="H86" s="509">
        <f t="shared" ref="H86" si="5">(G86+F86)/E86*100</f>
        <v>99.437076923076916</v>
      </c>
      <c r="IO86"/>
      <c r="IP86"/>
      <c r="IQ86"/>
      <c r="IR86"/>
      <c r="IS86"/>
      <c r="IT86"/>
      <c r="IU86"/>
      <c r="IV86"/>
      <c r="IW86"/>
    </row>
    <row r="87" spans="1:257" s="4" customFormat="1" ht="45">
      <c r="A87" s="749"/>
      <c r="B87" s="744"/>
      <c r="C87" s="482">
        <v>6410</v>
      </c>
      <c r="D87" s="250" t="s">
        <v>344</v>
      </c>
      <c r="E87" s="443">
        <v>41200</v>
      </c>
      <c r="F87" s="443">
        <v>0</v>
      </c>
      <c r="G87" s="443">
        <v>41195.199999999997</v>
      </c>
      <c r="H87" s="509">
        <f t="shared" si="4"/>
        <v>99.988349514563097</v>
      </c>
      <c r="IO87"/>
      <c r="IP87"/>
      <c r="IQ87"/>
      <c r="IR87"/>
      <c r="IS87"/>
      <c r="IT87"/>
      <c r="IU87"/>
      <c r="IV87"/>
      <c r="IW87"/>
    </row>
    <row r="88" spans="1:257" s="4" customFormat="1">
      <c r="A88" s="749"/>
      <c r="B88" s="282">
        <v>75421</v>
      </c>
      <c r="C88" s="482"/>
      <c r="D88" s="250" t="s">
        <v>403</v>
      </c>
      <c r="E88" s="443">
        <f>E89</f>
        <v>5903</v>
      </c>
      <c r="F88" s="443">
        <f>F89</f>
        <v>5902.72</v>
      </c>
      <c r="G88" s="443">
        <f>G89</f>
        <v>0</v>
      </c>
      <c r="H88" s="509">
        <f t="shared" si="4"/>
        <v>99.995256649161448</v>
      </c>
      <c r="IO88"/>
      <c r="IP88"/>
      <c r="IQ88"/>
      <c r="IR88"/>
      <c r="IS88"/>
      <c r="IT88"/>
      <c r="IU88"/>
      <c r="IV88"/>
      <c r="IW88"/>
    </row>
    <row r="89" spans="1:257" s="4" customFormat="1" ht="33" customHeight="1">
      <c r="A89" s="750"/>
      <c r="B89" s="282"/>
      <c r="C89" s="482">
        <v>2310</v>
      </c>
      <c r="D89" s="250" t="s">
        <v>621</v>
      </c>
      <c r="E89" s="443">
        <v>5903</v>
      </c>
      <c r="F89" s="443">
        <v>5902.72</v>
      </c>
      <c r="G89" s="443">
        <v>0</v>
      </c>
      <c r="H89" s="509">
        <f t="shared" si="4"/>
        <v>99.995256649161448</v>
      </c>
      <c r="IO89"/>
      <c r="IP89"/>
      <c r="IQ89"/>
      <c r="IR89"/>
      <c r="IS89"/>
      <c r="IT89"/>
      <c r="IU89"/>
      <c r="IV89"/>
      <c r="IW89"/>
    </row>
    <row r="90" spans="1:257" s="4" customFormat="1" ht="33" customHeight="1">
      <c r="A90" s="161">
        <v>756</v>
      </c>
      <c r="B90" s="161"/>
      <c r="C90" s="161"/>
      <c r="D90" s="315" t="s">
        <v>336</v>
      </c>
      <c r="E90" s="442">
        <f>SUM(E97+E91)</f>
        <v>6484315</v>
      </c>
      <c r="F90" s="442">
        <f>SUM(F97+F91)</f>
        <v>6130550.0999999996</v>
      </c>
      <c r="G90" s="442">
        <f>SUM(G97+G91)</f>
        <v>0</v>
      </c>
      <c r="H90" s="508">
        <f t="shared" si="4"/>
        <v>94.544298048444588</v>
      </c>
      <c r="IO90"/>
      <c r="IP90"/>
      <c r="IQ90"/>
      <c r="IR90"/>
      <c r="IS90"/>
      <c r="IT90"/>
      <c r="IU90"/>
      <c r="IV90"/>
      <c r="IW90"/>
    </row>
    <row r="91" spans="1:257" s="145" customFormat="1" ht="33.75">
      <c r="A91" s="748" t="s">
        <v>16</v>
      </c>
      <c r="B91" s="198">
        <v>75618</v>
      </c>
      <c r="C91" s="198"/>
      <c r="D91" s="333" t="s">
        <v>505</v>
      </c>
      <c r="E91" s="443">
        <f>SUM(E92:E96)</f>
        <v>1741370</v>
      </c>
      <c r="F91" s="443">
        <f>SUM(F92:F96)</f>
        <v>1812333.1</v>
      </c>
      <c r="G91" s="443">
        <f>SUM(G92:G96)</f>
        <v>0</v>
      </c>
      <c r="H91" s="509">
        <f t="shared" si="4"/>
        <v>104.07513050069772</v>
      </c>
      <c r="IO91" s="14"/>
      <c r="IP91" s="14"/>
      <c r="IQ91" s="14"/>
      <c r="IR91" s="14"/>
      <c r="IS91" s="14"/>
      <c r="IT91" s="14"/>
      <c r="IU91" s="14"/>
      <c r="IV91" s="14"/>
      <c r="IW91" s="14"/>
    </row>
    <row r="92" spans="1:257" s="145" customFormat="1">
      <c r="A92" s="749"/>
      <c r="B92" s="745"/>
      <c r="C92" s="334" t="s">
        <v>57</v>
      </c>
      <c r="D92" s="333" t="s">
        <v>58</v>
      </c>
      <c r="E92" s="443">
        <v>734480</v>
      </c>
      <c r="F92" s="443">
        <v>781038.5</v>
      </c>
      <c r="G92" s="443">
        <v>0</v>
      </c>
      <c r="H92" s="509">
        <f t="shared" si="4"/>
        <v>106.33897451258032</v>
      </c>
      <c r="IO92" s="14"/>
      <c r="IP92" s="14"/>
      <c r="IQ92" s="14"/>
      <c r="IR92" s="14"/>
      <c r="IS92" s="14"/>
      <c r="IT92" s="14"/>
      <c r="IU92" s="14"/>
      <c r="IV92" s="14"/>
      <c r="IW92" s="14"/>
    </row>
    <row r="93" spans="1:257" s="145" customFormat="1" ht="24" customHeight="1">
      <c r="A93" s="749"/>
      <c r="B93" s="746"/>
      <c r="C93" s="334" t="s">
        <v>402</v>
      </c>
      <c r="D93" s="333" t="s">
        <v>404</v>
      </c>
      <c r="E93" s="443">
        <v>990812</v>
      </c>
      <c r="F93" s="443">
        <v>1009192.76</v>
      </c>
      <c r="G93" s="443">
        <v>0</v>
      </c>
      <c r="H93" s="509">
        <f t="shared" si="4"/>
        <v>101.85512085037323</v>
      </c>
      <c r="IO93" s="14"/>
      <c r="IP93" s="14"/>
      <c r="IQ93" s="14"/>
      <c r="IR93" s="14"/>
      <c r="IS93" s="14"/>
      <c r="IT93" s="14"/>
      <c r="IU93" s="14"/>
      <c r="IV93" s="14"/>
      <c r="IW93" s="14"/>
    </row>
    <row r="94" spans="1:257" s="145" customFormat="1">
      <c r="A94" s="749"/>
      <c r="B94" s="746"/>
      <c r="C94" s="334" t="s">
        <v>38</v>
      </c>
      <c r="D94" s="440" t="s">
        <v>39</v>
      </c>
      <c r="E94" s="443">
        <v>12208</v>
      </c>
      <c r="F94" s="443">
        <v>16190.8</v>
      </c>
      <c r="G94" s="443">
        <v>0</v>
      </c>
      <c r="H94" s="509">
        <f t="shared" si="4"/>
        <v>132.62450851900394</v>
      </c>
      <c r="IO94" s="14"/>
      <c r="IP94" s="14"/>
      <c r="IQ94" s="14"/>
      <c r="IR94" s="14"/>
      <c r="IS94" s="14"/>
      <c r="IT94" s="14"/>
      <c r="IU94" s="14"/>
      <c r="IV94" s="14"/>
      <c r="IW94" s="14"/>
    </row>
    <row r="95" spans="1:257" s="145" customFormat="1" ht="55.5" customHeight="1">
      <c r="A95" s="749"/>
      <c r="B95" s="746"/>
      <c r="C95" s="334" t="s">
        <v>31</v>
      </c>
      <c r="D95" s="250" t="s">
        <v>117</v>
      </c>
      <c r="E95" s="443">
        <v>3000</v>
      </c>
      <c r="F95" s="443">
        <v>4135.62</v>
      </c>
      <c r="G95" s="443">
        <v>0</v>
      </c>
      <c r="H95" s="509">
        <f t="shared" si="4"/>
        <v>137.85399999999998</v>
      </c>
      <c r="IO95" s="14"/>
      <c r="IP95" s="14"/>
      <c r="IQ95" s="14"/>
      <c r="IR95" s="14"/>
      <c r="IS95" s="14"/>
      <c r="IT95" s="14"/>
      <c r="IU95" s="14"/>
      <c r="IV95" s="14"/>
      <c r="IW95" s="14"/>
    </row>
    <row r="96" spans="1:257" s="145" customFormat="1" ht="22.5" customHeight="1">
      <c r="A96" s="749"/>
      <c r="B96" s="747"/>
      <c r="C96" s="334" t="s">
        <v>116</v>
      </c>
      <c r="D96" s="250" t="s">
        <v>343</v>
      </c>
      <c r="E96" s="443">
        <v>870</v>
      </c>
      <c r="F96" s="443">
        <v>1775.42</v>
      </c>
      <c r="G96" s="443">
        <v>0</v>
      </c>
      <c r="H96" s="509">
        <f t="shared" si="4"/>
        <v>204.0712643678161</v>
      </c>
      <c r="IO96" s="14"/>
      <c r="IP96" s="14"/>
      <c r="IQ96" s="14"/>
      <c r="IR96" s="14"/>
      <c r="IS96" s="14"/>
      <c r="IT96" s="14"/>
      <c r="IU96" s="14"/>
      <c r="IV96" s="14"/>
      <c r="IW96" s="14"/>
    </row>
    <row r="97" spans="1:257" s="4" customFormat="1" ht="22.5">
      <c r="A97" s="749"/>
      <c r="B97" s="283">
        <v>75622</v>
      </c>
      <c r="C97" s="482"/>
      <c r="D97" s="250" t="s">
        <v>337</v>
      </c>
      <c r="E97" s="443">
        <f>E98+E99</f>
        <v>4742945</v>
      </c>
      <c r="F97" s="443">
        <f>F98+F99</f>
        <v>4318217</v>
      </c>
      <c r="G97" s="443">
        <f>G98+G99</f>
        <v>0</v>
      </c>
      <c r="H97" s="509">
        <f t="shared" si="4"/>
        <v>91.045057448484016</v>
      </c>
      <c r="IO97"/>
      <c r="IP97"/>
      <c r="IQ97"/>
      <c r="IR97"/>
      <c r="IS97"/>
      <c r="IT97"/>
      <c r="IU97"/>
      <c r="IV97"/>
      <c r="IW97"/>
    </row>
    <row r="98" spans="1:257" s="4" customFormat="1">
      <c r="A98" s="749"/>
      <c r="B98" s="744"/>
      <c r="C98" s="482" t="s">
        <v>65</v>
      </c>
      <c r="D98" s="440" t="s">
        <v>66</v>
      </c>
      <c r="E98" s="443">
        <v>4592945</v>
      </c>
      <c r="F98" s="443">
        <v>4174998</v>
      </c>
      <c r="G98" s="443">
        <v>0</v>
      </c>
      <c r="H98" s="509">
        <f t="shared" si="4"/>
        <v>90.900239388888821</v>
      </c>
      <c r="IO98"/>
      <c r="IP98"/>
      <c r="IQ98"/>
      <c r="IR98"/>
      <c r="IS98"/>
      <c r="IT98"/>
      <c r="IU98"/>
      <c r="IV98"/>
      <c r="IW98"/>
    </row>
    <row r="99" spans="1:257" s="3" customFormat="1">
      <c r="A99" s="750"/>
      <c r="B99" s="744"/>
      <c r="C99" s="482" t="s">
        <v>67</v>
      </c>
      <c r="D99" s="440" t="s">
        <v>68</v>
      </c>
      <c r="E99" s="443">
        <v>150000</v>
      </c>
      <c r="F99" s="443">
        <v>143219</v>
      </c>
      <c r="G99" s="443">
        <v>0</v>
      </c>
      <c r="H99" s="509">
        <f t="shared" si="4"/>
        <v>95.479333333333344</v>
      </c>
      <c r="IO99"/>
      <c r="IP99"/>
      <c r="IQ99"/>
      <c r="IR99"/>
      <c r="IS99"/>
      <c r="IT99"/>
      <c r="IU99"/>
      <c r="IV99"/>
      <c r="IW99"/>
    </row>
    <row r="100" spans="1:257" s="4" customFormat="1">
      <c r="A100" s="161">
        <v>758</v>
      </c>
      <c r="B100" s="161"/>
      <c r="C100" s="161"/>
      <c r="D100" s="439" t="s">
        <v>69</v>
      </c>
      <c r="E100" s="442">
        <f>E101+E105+E107+E109+E103</f>
        <v>25682567</v>
      </c>
      <c r="F100" s="442">
        <f>F101+F105+F107+F109+F103</f>
        <v>25695943.629999999</v>
      </c>
      <c r="G100" s="442">
        <f>G101+G105+G107+G109+G103</f>
        <v>0</v>
      </c>
      <c r="H100" s="508">
        <f t="shared" si="4"/>
        <v>100.05208447426614</v>
      </c>
      <c r="IO100"/>
      <c r="IP100"/>
      <c r="IQ100"/>
      <c r="IR100"/>
      <c r="IS100"/>
      <c r="IT100"/>
      <c r="IU100"/>
      <c r="IV100"/>
      <c r="IW100"/>
    </row>
    <row r="101" spans="1:257" s="4" customFormat="1" ht="22.5">
      <c r="A101" s="744"/>
      <c r="B101" s="282">
        <v>75801</v>
      </c>
      <c r="C101" s="482"/>
      <c r="D101" s="250" t="s">
        <v>70</v>
      </c>
      <c r="E101" s="443">
        <f>E102</f>
        <v>16448345</v>
      </c>
      <c r="F101" s="443">
        <f>F102</f>
        <v>16448345</v>
      </c>
      <c r="G101" s="443">
        <f>G102</f>
        <v>0</v>
      </c>
      <c r="H101" s="509">
        <f t="shared" si="4"/>
        <v>100</v>
      </c>
      <c r="IO101"/>
      <c r="IP101"/>
      <c r="IQ101"/>
      <c r="IR101"/>
      <c r="IS101"/>
      <c r="IT101"/>
      <c r="IU101"/>
      <c r="IV101"/>
      <c r="IW101"/>
    </row>
    <row r="102" spans="1:257" s="4" customFormat="1">
      <c r="A102" s="744"/>
      <c r="B102" s="282"/>
      <c r="C102" s="482">
        <v>2920</v>
      </c>
      <c r="D102" s="440" t="s">
        <v>71</v>
      </c>
      <c r="E102" s="443">
        <v>16448345</v>
      </c>
      <c r="F102" s="443">
        <v>16448345</v>
      </c>
      <c r="G102" s="443">
        <v>0</v>
      </c>
      <c r="H102" s="509">
        <f t="shared" si="4"/>
        <v>100</v>
      </c>
      <c r="IO102"/>
      <c r="IP102"/>
      <c r="IQ102"/>
      <c r="IR102"/>
      <c r="IS102"/>
      <c r="IT102"/>
      <c r="IU102"/>
      <c r="IV102"/>
      <c r="IW102"/>
    </row>
    <row r="103" spans="1:257" s="4" customFormat="1" ht="22.5">
      <c r="A103" s="744"/>
      <c r="B103" s="282">
        <v>75802</v>
      </c>
      <c r="C103" s="482"/>
      <c r="D103" s="250" t="s">
        <v>72</v>
      </c>
      <c r="E103" s="443">
        <f>E104</f>
        <v>30449</v>
      </c>
      <c r="F103" s="443">
        <f>F104</f>
        <v>30449</v>
      </c>
      <c r="G103" s="443">
        <f>G104</f>
        <v>0</v>
      </c>
      <c r="H103" s="509">
        <f t="shared" si="4"/>
        <v>100</v>
      </c>
      <c r="IO103"/>
      <c r="IP103"/>
      <c r="IQ103"/>
      <c r="IR103"/>
      <c r="IS103"/>
      <c r="IT103"/>
      <c r="IU103"/>
      <c r="IV103"/>
      <c r="IW103"/>
    </row>
    <row r="104" spans="1:257" s="4" customFormat="1">
      <c r="A104" s="744"/>
      <c r="B104" s="282"/>
      <c r="C104" s="482">
        <v>2760</v>
      </c>
      <c r="D104" s="440" t="s">
        <v>73</v>
      </c>
      <c r="E104" s="443">
        <v>30449</v>
      </c>
      <c r="F104" s="443">
        <v>30449</v>
      </c>
      <c r="G104" s="443">
        <v>0</v>
      </c>
      <c r="H104" s="509">
        <f t="shared" si="4"/>
        <v>100</v>
      </c>
      <c r="IO104"/>
      <c r="IP104"/>
      <c r="IQ104"/>
      <c r="IR104"/>
      <c r="IS104"/>
      <c r="IT104"/>
      <c r="IU104"/>
      <c r="IV104"/>
      <c r="IW104"/>
    </row>
    <row r="105" spans="1:257" s="4" customFormat="1">
      <c r="A105" s="744"/>
      <c r="B105" s="282">
        <v>75803</v>
      </c>
      <c r="C105" s="482"/>
      <c r="D105" s="440" t="s">
        <v>74</v>
      </c>
      <c r="E105" s="443">
        <f>E106</f>
        <v>7606022</v>
      </c>
      <c r="F105" s="443">
        <f>F106</f>
        <v>7606022</v>
      </c>
      <c r="G105" s="443">
        <f>G106</f>
        <v>0</v>
      </c>
      <c r="H105" s="509">
        <f t="shared" si="4"/>
        <v>100</v>
      </c>
      <c r="IO105"/>
      <c r="IP105"/>
      <c r="IQ105"/>
      <c r="IR105"/>
      <c r="IS105"/>
      <c r="IT105"/>
      <c r="IU105"/>
      <c r="IV105"/>
      <c r="IW105"/>
    </row>
    <row r="106" spans="1:257" s="4" customFormat="1">
      <c r="A106" s="744"/>
      <c r="B106" s="282"/>
      <c r="C106" s="482">
        <v>2920</v>
      </c>
      <c r="D106" s="440" t="s">
        <v>71</v>
      </c>
      <c r="E106" s="443">
        <v>7606022</v>
      </c>
      <c r="F106" s="443">
        <v>7606022</v>
      </c>
      <c r="G106" s="443">
        <v>0</v>
      </c>
      <c r="H106" s="509">
        <f t="shared" si="4"/>
        <v>100</v>
      </c>
      <c r="IO106"/>
      <c r="IP106"/>
      <c r="IQ106"/>
      <c r="IR106"/>
      <c r="IS106"/>
      <c r="IT106"/>
      <c r="IU106"/>
      <c r="IV106"/>
      <c r="IW106"/>
    </row>
    <row r="107" spans="1:257" s="4" customFormat="1">
      <c r="A107" s="744"/>
      <c r="B107" s="282">
        <v>75814</v>
      </c>
      <c r="C107" s="482"/>
      <c r="D107" s="440" t="s">
        <v>338</v>
      </c>
      <c r="E107" s="443">
        <f>E108</f>
        <v>85820</v>
      </c>
      <c r="F107" s="443">
        <f>F108</f>
        <v>99196.63</v>
      </c>
      <c r="G107" s="443">
        <f>G108</f>
        <v>0</v>
      </c>
      <c r="H107" s="509">
        <f t="shared" si="4"/>
        <v>115.586844558378</v>
      </c>
      <c r="IO107"/>
      <c r="IP107"/>
      <c r="IQ107"/>
      <c r="IR107"/>
      <c r="IS107"/>
      <c r="IT107"/>
      <c r="IU107"/>
      <c r="IV107"/>
      <c r="IW107"/>
    </row>
    <row r="108" spans="1:257" s="4" customFormat="1">
      <c r="A108" s="744"/>
      <c r="B108" s="282"/>
      <c r="C108" s="482" t="s">
        <v>42</v>
      </c>
      <c r="D108" s="440" t="s">
        <v>43</v>
      </c>
      <c r="E108" s="443">
        <v>85820</v>
      </c>
      <c r="F108" s="443">
        <v>99196.63</v>
      </c>
      <c r="G108" s="443">
        <v>0</v>
      </c>
      <c r="H108" s="509">
        <f t="shared" si="4"/>
        <v>115.586844558378</v>
      </c>
      <c r="IO108"/>
      <c r="IP108"/>
      <c r="IQ108"/>
      <c r="IR108"/>
      <c r="IS108"/>
      <c r="IT108"/>
      <c r="IU108"/>
      <c r="IV108"/>
      <c r="IW108"/>
    </row>
    <row r="109" spans="1:257" s="4" customFormat="1">
      <c r="A109" s="744"/>
      <c r="B109" s="282">
        <v>75832</v>
      </c>
      <c r="C109" s="482"/>
      <c r="D109" s="440" t="s">
        <v>75</v>
      </c>
      <c r="E109" s="443">
        <f>E110</f>
        <v>1511931</v>
      </c>
      <c r="F109" s="443">
        <f>F110</f>
        <v>1511931</v>
      </c>
      <c r="G109" s="443">
        <f>G110</f>
        <v>0</v>
      </c>
      <c r="H109" s="509">
        <f t="shared" si="4"/>
        <v>100</v>
      </c>
      <c r="IO109"/>
      <c r="IP109"/>
      <c r="IQ109"/>
      <c r="IR109"/>
      <c r="IS109"/>
      <c r="IT109"/>
      <c r="IU109"/>
      <c r="IV109"/>
      <c r="IW109"/>
    </row>
    <row r="110" spans="1:257" s="4" customFormat="1">
      <c r="A110" s="744"/>
      <c r="B110" s="282"/>
      <c r="C110" s="482">
        <v>2920</v>
      </c>
      <c r="D110" s="440" t="s">
        <v>71</v>
      </c>
      <c r="E110" s="443">
        <v>1511931</v>
      </c>
      <c r="F110" s="443">
        <v>1511931</v>
      </c>
      <c r="G110" s="443">
        <v>0</v>
      </c>
      <c r="H110" s="509">
        <f t="shared" si="4"/>
        <v>100</v>
      </c>
      <c r="IO110"/>
      <c r="IP110"/>
      <c r="IQ110"/>
      <c r="IR110"/>
      <c r="IS110"/>
      <c r="IT110"/>
      <c r="IU110"/>
      <c r="IV110"/>
      <c r="IW110"/>
    </row>
    <row r="111" spans="1:257" s="4" customFormat="1">
      <c r="A111" s="161">
        <v>801</v>
      </c>
      <c r="B111" s="161"/>
      <c r="C111" s="161"/>
      <c r="D111" s="439" t="s">
        <v>76</v>
      </c>
      <c r="E111" s="442">
        <f>SUM(E112+E116+E127+E143+E136+E141)</f>
        <v>407155.68</v>
      </c>
      <c r="F111" s="442">
        <f t="shared" ref="F111:G111" si="6">SUM(F112+F116+F127+F143+F136+F141)</f>
        <v>420768.77</v>
      </c>
      <c r="G111" s="442">
        <f t="shared" si="6"/>
        <v>0</v>
      </c>
      <c r="H111" s="508">
        <f t="shared" si="4"/>
        <v>103.34346066349855</v>
      </c>
      <c r="IO111"/>
      <c r="IP111"/>
      <c r="IQ111"/>
      <c r="IR111"/>
      <c r="IS111"/>
      <c r="IT111"/>
      <c r="IU111"/>
      <c r="IV111"/>
      <c r="IW111"/>
    </row>
    <row r="112" spans="1:257" s="4" customFormat="1">
      <c r="A112" s="744"/>
      <c r="B112" s="282">
        <v>80102</v>
      </c>
      <c r="C112" s="482"/>
      <c r="D112" s="440" t="s">
        <v>77</v>
      </c>
      <c r="E112" s="443">
        <f>SUM(E113:E115)</f>
        <v>5650</v>
      </c>
      <c r="F112" s="443">
        <f>SUM(F113:F115)</f>
        <v>6637.4</v>
      </c>
      <c r="G112" s="443">
        <f>SUM(G113:G115)</f>
        <v>0</v>
      </c>
      <c r="H112" s="509">
        <f t="shared" si="4"/>
        <v>117.47610619469026</v>
      </c>
      <c r="IO112"/>
      <c r="IP112"/>
      <c r="IQ112"/>
      <c r="IR112"/>
      <c r="IS112"/>
      <c r="IT112"/>
      <c r="IU112"/>
      <c r="IV112"/>
      <c r="IW112"/>
    </row>
    <row r="113" spans="1:257" s="4" customFormat="1" ht="54.75" customHeight="1">
      <c r="A113" s="744"/>
      <c r="B113" s="744"/>
      <c r="C113" s="482" t="s">
        <v>31</v>
      </c>
      <c r="D113" s="250" t="s">
        <v>117</v>
      </c>
      <c r="E113" s="443">
        <v>5200</v>
      </c>
      <c r="F113" s="443">
        <v>6220</v>
      </c>
      <c r="G113" s="443">
        <v>0</v>
      </c>
      <c r="H113" s="509">
        <f t="shared" si="4"/>
        <v>119.61538461538461</v>
      </c>
      <c r="IO113"/>
      <c r="IP113"/>
      <c r="IQ113"/>
      <c r="IR113"/>
      <c r="IS113"/>
      <c r="IT113"/>
      <c r="IU113"/>
      <c r="IV113"/>
      <c r="IW113"/>
    </row>
    <row r="114" spans="1:257" s="4" customFormat="1">
      <c r="A114" s="744"/>
      <c r="B114" s="744"/>
      <c r="C114" s="482" t="s">
        <v>42</v>
      </c>
      <c r="D114" s="250" t="s">
        <v>43</v>
      </c>
      <c r="E114" s="443">
        <v>450</v>
      </c>
      <c r="F114" s="443">
        <v>381.4</v>
      </c>
      <c r="G114" s="443">
        <v>0</v>
      </c>
      <c r="H114" s="509">
        <f t="shared" si="4"/>
        <v>84.755555555555546</v>
      </c>
      <c r="IO114"/>
      <c r="IP114"/>
      <c r="IQ114"/>
      <c r="IR114"/>
      <c r="IS114"/>
      <c r="IT114"/>
      <c r="IU114"/>
      <c r="IV114"/>
      <c r="IW114"/>
    </row>
    <row r="115" spans="1:257" s="4" customFormat="1">
      <c r="A115" s="744"/>
      <c r="B115" s="744"/>
      <c r="C115" s="482" t="s">
        <v>27</v>
      </c>
      <c r="D115" s="250" t="s">
        <v>28</v>
      </c>
      <c r="E115" s="443">
        <v>0</v>
      </c>
      <c r="F115" s="443">
        <v>36</v>
      </c>
      <c r="G115" s="443">
        <v>0</v>
      </c>
      <c r="H115" s="509"/>
      <c r="IO115"/>
      <c r="IP115"/>
      <c r="IQ115"/>
      <c r="IR115"/>
      <c r="IS115"/>
      <c r="IT115"/>
      <c r="IU115"/>
      <c r="IV115"/>
      <c r="IW115"/>
    </row>
    <row r="116" spans="1:257" s="4" customFormat="1">
      <c r="A116" s="744"/>
      <c r="B116" s="282">
        <v>80120</v>
      </c>
      <c r="C116" s="482"/>
      <c r="D116" s="440" t="s">
        <v>79</v>
      </c>
      <c r="E116" s="443">
        <f>SUM(E117:E126)</f>
        <v>76008</v>
      </c>
      <c r="F116" s="443">
        <f>SUM(F117:F126)</f>
        <v>87188.619999999981</v>
      </c>
      <c r="G116" s="443">
        <f>SUM(G117:G126)</f>
        <v>0</v>
      </c>
      <c r="H116" s="509">
        <f t="shared" si="4"/>
        <v>114.70979370592566</v>
      </c>
      <c r="IO116"/>
      <c r="IP116"/>
      <c r="IQ116"/>
      <c r="IR116"/>
      <c r="IS116"/>
      <c r="IT116"/>
      <c r="IU116"/>
      <c r="IV116"/>
      <c r="IW116"/>
    </row>
    <row r="117" spans="1:257" s="4" customFormat="1">
      <c r="A117" s="744"/>
      <c r="B117" s="744"/>
      <c r="C117" s="482" t="s">
        <v>38</v>
      </c>
      <c r="D117" s="440" t="s">
        <v>39</v>
      </c>
      <c r="E117" s="443">
        <f>113+494</f>
        <v>607</v>
      </c>
      <c r="F117" s="443">
        <f>118.92+573</f>
        <v>691.92</v>
      </c>
      <c r="G117" s="443">
        <v>0</v>
      </c>
      <c r="H117" s="509">
        <f t="shared" si="4"/>
        <v>113.99011532125205</v>
      </c>
      <c r="IO117"/>
      <c r="IP117"/>
      <c r="IQ117"/>
      <c r="IR117"/>
      <c r="IS117"/>
      <c r="IT117"/>
      <c r="IU117"/>
      <c r="IV117"/>
      <c r="IW117"/>
    </row>
    <row r="118" spans="1:257" s="4" customFormat="1" ht="57" customHeight="1">
      <c r="A118" s="744"/>
      <c r="B118" s="744"/>
      <c r="C118" s="482" t="s">
        <v>31</v>
      </c>
      <c r="D118" s="250" t="s">
        <v>117</v>
      </c>
      <c r="E118" s="443">
        <f>2295+46471</f>
        <v>48766</v>
      </c>
      <c r="F118" s="443">
        <f>2336.57+59432.71</f>
        <v>61769.279999999999</v>
      </c>
      <c r="G118" s="443">
        <v>0</v>
      </c>
      <c r="H118" s="509">
        <f t="shared" si="4"/>
        <v>126.66464339908954</v>
      </c>
      <c r="IO118"/>
      <c r="IP118"/>
      <c r="IQ118"/>
      <c r="IR118"/>
      <c r="IS118"/>
      <c r="IT118"/>
      <c r="IU118"/>
      <c r="IV118"/>
      <c r="IW118"/>
    </row>
    <row r="119" spans="1:257" s="4" customFormat="1">
      <c r="A119" s="744"/>
      <c r="B119" s="744"/>
      <c r="C119" s="314" t="s">
        <v>40</v>
      </c>
      <c r="D119" s="250" t="s">
        <v>41</v>
      </c>
      <c r="E119" s="443">
        <f>2700</f>
        <v>2700</v>
      </c>
      <c r="F119" s="443">
        <f>999.9</f>
        <v>999.9</v>
      </c>
      <c r="G119" s="443">
        <v>0</v>
      </c>
      <c r="H119" s="509">
        <f t="shared" si="4"/>
        <v>37.033333333333331</v>
      </c>
      <c r="IO119"/>
      <c r="IP119"/>
      <c r="IQ119"/>
      <c r="IR119"/>
      <c r="IS119"/>
      <c r="IT119"/>
      <c r="IU119"/>
      <c r="IV119"/>
      <c r="IW119"/>
    </row>
    <row r="120" spans="1:257" s="4" customFormat="1" ht="33.75" customHeight="1">
      <c r="A120" s="744"/>
      <c r="B120" s="744"/>
      <c r="C120" s="482" t="s">
        <v>80</v>
      </c>
      <c r="D120" s="250" t="s">
        <v>81</v>
      </c>
      <c r="E120" s="443">
        <v>0</v>
      </c>
      <c r="F120" s="443">
        <v>16</v>
      </c>
      <c r="G120" s="443">
        <v>0</v>
      </c>
      <c r="H120" s="509"/>
      <c r="IO120"/>
      <c r="IP120"/>
      <c r="IQ120"/>
      <c r="IR120"/>
      <c r="IS120"/>
      <c r="IT120"/>
      <c r="IU120"/>
      <c r="IV120"/>
      <c r="IW120"/>
    </row>
    <row r="121" spans="1:257" s="4" customFormat="1">
      <c r="A121" s="744"/>
      <c r="B121" s="744"/>
      <c r="C121" s="482" t="s">
        <v>42</v>
      </c>
      <c r="D121" s="250" t="s">
        <v>43</v>
      </c>
      <c r="E121" s="443">
        <f>180+306</f>
        <v>486</v>
      </c>
      <c r="F121" s="443">
        <v>699.64</v>
      </c>
      <c r="G121" s="443">
        <v>0</v>
      </c>
      <c r="H121" s="509">
        <f t="shared" si="4"/>
        <v>143.9588477366255</v>
      </c>
      <c r="IO121"/>
      <c r="IP121"/>
      <c r="IQ121"/>
      <c r="IR121"/>
      <c r="IS121"/>
      <c r="IT121"/>
      <c r="IU121"/>
      <c r="IV121"/>
      <c r="IW121"/>
    </row>
    <row r="122" spans="1:257" s="4" customFormat="1" ht="22.5">
      <c r="A122" s="744"/>
      <c r="B122" s="744"/>
      <c r="C122" s="482" t="s">
        <v>82</v>
      </c>
      <c r="D122" s="250" t="s">
        <v>83</v>
      </c>
      <c r="E122" s="443">
        <f>5000</f>
        <v>5000</v>
      </c>
      <c r="F122" s="443">
        <f>5000</f>
        <v>5000</v>
      </c>
      <c r="G122" s="443">
        <v>0</v>
      </c>
      <c r="H122" s="509">
        <f t="shared" si="4"/>
        <v>100</v>
      </c>
      <c r="IO122"/>
      <c r="IP122"/>
      <c r="IQ122"/>
      <c r="IR122"/>
      <c r="IS122"/>
      <c r="IT122"/>
      <c r="IU122"/>
      <c r="IV122"/>
      <c r="IW122"/>
    </row>
    <row r="123" spans="1:257" s="4" customFormat="1">
      <c r="A123" s="744"/>
      <c r="B123" s="744"/>
      <c r="C123" s="482" t="s">
        <v>27</v>
      </c>
      <c r="D123" s="250" t="s">
        <v>28</v>
      </c>
      <c r="E123" s="443">
        <f>605+1000</f>
        <v>1605</v>
      </c>
      <c r="F123" s="443">
        <f>626.76+407.28</f>
        <v>1034.04</v>
      </c>
      <c r="G123" s="443">
        <v>0</v>
      </c>
      <c r="H123" s="509">
        <f t="shared" si="4"/>
        <v>64.426168224299062</v>
      </c>
      <c r="IO123"/>
      <c r="IP123"/>
      <c r="IQ123"/>
      <c r="IR123"/>
      <c r="IS123"/>
      <c r="IT123"/>
      <c r="IU123"/>
      <c r="IV123"/>
      <c r="IW123"/>
    </row>
    <row r="124" spans="1:257" s="4" customFormat="1" ht="33.75">
      <c r="A124" s="744"/>
      <c r="B124" s="744"/>
      <c r="C124" s="482">
        <v>2708</v>
      </c>
      <c r="D124" s="338" t="s">
        <v>405</v>
      </c>
      <c r="E124" s="443">
        <v>14844</v>
      </c>
      <c r="F124" s="443">
        <v>14843.48</v>
      </c>
      <c r="G124" s="443">
        <v>0</v>
      </c>
      <c r="H124" s="509">
        <f t="shared" si="4"/>
        <v>99.99649690110482</v>
      </c>
      <c r="IO124"/>
      <c r="IP124"/>
      <c r="IQ124"/>
      <c r="IR124"/>
      <c r="IS124"/>
      <c r="IT124"/>
      <c r="IU124"/>
      <c r="IV124"/>
      <c r="IW124"/>
    </row>
    <row r="125" spans="1:257" s="4" customFormat="1" ht="36" customHeight="1">
      <c r="A125" s="744"/>
      <c r="B125" s="744"/>
      <c r="C125" s="482">
        <v>2710</v>
      </c>
      <c r="D125" s="338" t="s">
        <v>407</v>
      </c>
      <c r="E125" s="443">
        <v>2000</v>
      </c>
      <c r="F125" s="443">
        <v>2000</v>
      </c>
      <c r="G125" s="443">
        <v>0</v>
      </c>
      <c r="H125" s="509">
        <f t="shared" si="4"/>
        <v>100</v>
      </c>
      <c r="IO125"/>
      <c r="IP125"/>
      <c r="IQ125"/>
      <c r="IR125"/>
      <c r="IS125"/>
      <c r="IT125"/>
      <c r="IU125"/>
      <c r="IV125"/>
      <c r="IW125"/>
    </row>
    <row r="126" spans="1:257" s="4" customFormat="1" ht="33" customHeight="1">
      <c r="A126" s="744"/>
      <c r="B126" s="744"/>
      <c r="C126" s="482">
        <v>2910</v>
      </c>
      <c r="D126" s="250" t="s">
        <v>84</v>
      </c>
      <c r="E126" s="443">
        <v>0</v>
      </c>
      <c r="F126" s="443">
        <v>134.36000000000001</v>
      </c>
      <c r="G126" s="443">
        <v>0</v>
      </c>
      <c r="H126" s="509"/>
      <c r="IO126"/>
      <c r="IP126"/>
      <c r="IQ126"/>
      <c r="IR126"/>
      <c r="IS126"/>
      <c r="IT126"/>
      <c r="IU126"/>
      <c r="IV126"/>
      <c r="IW126"/>
    </row>
    <row r="127" spans="1:257" s="4" customFormat="1">
      <c r="A127" s="744"/>
      <c r="B127" s="282">
        <v>80130</v>
      </c>
      <c r="C127" s="482"/>
      <c r="D127" s="440" t="s">
        <v>86</v>
      </c>
      <c r="E127" s="443">
        <f>SUM(E128:E135)</f>
        <v>97451</v>
      </c>
      <c r="F127" s="443">
        <f>SUM(F128:F135)</f>
        <v>97703.17</v>
      </c>
      <c r="G127" s="443">
        <f>SUM(G128:G135)</f>
        <v>0</v>
      </c>
      <c r="H127" s="509">
        <f t="shared" si="4"/>
        <v>100.25876594391028</v>
      </c>
      <c r="IO127"/>
      <c r="IP127"/>
      <c r="IQ127"/>
      <c r="IR127"/>
      <c r="IS127"/>
      <c r="IT127"/>
      <c r="IU127"/>
      <c r="IV127"/>
      <c r="IW127"/>
    </row>
    <row r="128" spans="1:257" s="4" customFormat="1">
      <c r="A128" s="744"/>
      <c r="B128" s="748"/>
      <c r="C128" s="482" t="s">
        <v>38</v>
      </c>
      <c r="D128" s="440" t="s">
        <v>39</v>
      </c>
      <c r="E128" s="443">
        <f>462+79+1250</f>
        <v>1791</v>
      </c>
      <c r="F128" s="443">
        <f>462+83.08+1328</f>
        <v>1873.08</v>
      </c>
      <c r="G128" s="443">
        <v>0</v>
      </c>
      <c r="H128" s="509">
        <f t="shared" si="4"/>
        <v>104.58291457286433</v>
      </c>
      <c r="IO128"/>
      <c r="IP128"/>
      <c r="IQ128"/>
      <c r="IR128"/>
      <c r="IS128"/>
      <c r="IT128"/>
      <c r="IU128"/>
      <c r="IV128"/>
      <c r="IW128"/>
    </row>
    <row r="129" spans="1:257" s="4" customFormat="1" ht="54.75" customHeight="1">
      <c r="A129" s="744"/>
      <c r="B129" s="749"/>
      <c r="C129" s="482" t="s">
        <v>31</v>
      </c>
      <c r="D129" s="250" t="s">
        <v>117</v>
      </c>
      <c r="E129" s="443">
        <f>1621+68171</f>
        <v>69792</v>
      </c>
      <c r="F129" s="443">
        <f>1651.75+67988.39</f>
        <v>69640.14</v>
      </c>
      <c r="G129" s="443">
        <v>0</v>
      </c>
      <c r="H129" s="509">
        <f t="shared" si="4"/>
        <v>99.782410591471802</v>
      </c>
      <c r="IO129"/>
      <c r="IP129"/>
      <c r="IQ129"/>
      <c r="IR129"/>
      <c r="IS129"/>
      <c r="IT129"/>
      <c r="IU129"/>
      <c r="IV129"/>
      <c r="IW129"/>
    </row>
    <row r="130" spans="1:257">
      <c r="A130" s="744"/>
      <c r="B130" s="749"/>
      <c r="C130" s="482" t="s">
        <v>40</v>
      </c>
      <c r="D130" s="250" t="s">
        <v>41</v>
      </c>
      <c r="E130" s="443">
        <v>5189</v>
      </c>
      <c r="F130" s="443">
        <v>5189.4799999999996</v>
      </c>
      <c r="G130" s="443">
        <v>0</v>
      </c>
      <c r="H130" s="509">
        <f t="shared" si="4"/>
        <v>100.00925033725187</v>
      </c>
    </row>
    <row r="131" spans="1:257" ht="36" customHeight="1">
      <c r="A131" s="744"/>
      <c r="B131" s="749"/>
      <c r="C131" s="482" t="s">
        <v>80</v>
      </c>
      <c r="D131" s="250" t="s">
        <v>81</v>
      </c>
      <c r="E131" s="443">
        <v>0</v>
      </c>
      <c r="F131" s="443">
        <v>36</v>
      </c>
      <c r="G131" s="443">
        <v>0</v>
      </c>
      <c r="H131" s="509"/>
    </row>
    <row r="132" spans="1:257">
      <c r="A132" s="744"/>
      <c r="B132" s="749"/>
      <c r="C132" s="482" t="s">
        <v>42</v>
      </c>
      <c r="D132" s="250" t="s">
        <v>43</v>
      </c>
      <c r="E132" s="443">
        <f>800+120+1486</f>
        <v>2406</v>
      </c>
      <c r="F132" s="443">
        <f>737.1+117.85+1548.24</f>
        <v>2403.19</v>
      </c>
      <c r="G132" s="443">
        <v>0</v>
      </c>
      <c r="H132" s="509">
        <f t="shared" si="4"/>
        <v>99.88320864505404</v>
      </c>
    </row>
    <row r="133" spans="1:257" ht="22.5">
      <c r="A133" s="744"/>
      <c r="B133" s="749"/>
      <c r="C133" s="314" t="s">
        <v>82</v>
      </c>
      <c r="D133" s="250" t="s">
        <v>342</v>
      </c>
      <c r="E133" s="443">
        <v>7000</v>
      </c>
      <c r="F133" s="443">
        <v>7000</v>
      </c>
      <c r="G133" s="443">
        <v>0</v>
      </c>
      <c r="H133" s="509">
        <f t="shared" si="4"/>
        <v>100</v>
      </c>
    </row>
    <row r="134" spans="1:257" s="3" customFormat="1">
      <c r="A134" s="744"/>
      <c r="B134" s="749"/>
      <c r="C134" s="482" t="s">
        <v>27</v>
      </c>
      <c r="D134" s="250" t="s">
        <v>28</v>
      </c>
      <c r="E134" s="443">
        <f>4828+406+6039</f>
        <v>11273</v>
      </c>
      <c r="F134" s="443">
        <f>4828+422.72+6037.56</f>
        <v>11288.28</v>
      </c>
      <c r="G134" s="443">
        <v>0</v>
      </c>
      <c r="H134" s="509">
        <f t="shared" si="4"/>
        <v>100.13554510777966</v>
      </c>
      <c r="IO134"/>
      <c r="IP134"/>
      <c r="IQ134"/>
      <c r="IR134"/>
      <c r="IS134"/>
      <c r="IT134"/>
      <c r="IU134"/>
      <c r="IV134"/>
      <c r="IW134"/>
    </row>
    <row r="135" spans="1:257" s="3" customFormat="1" ht="32.25" customHeight="1">
      <c r="A135" s="744"/>
      <c r="B135" s="749"/>
      <c r="C135" s="482">
        <v>2910</v>
      </c>
      <c r="D135" s="250" t="s">
        <v>84</v>
      </c>
      <c r="E135" s="443">
        <v>0</v>
      </c>
      <c r="F135" s="443">
        <v>273</v>
      </c>
      <c r="G135" s="443">
        <v>0</v>
      </c>
      <c r="H135" s="509"/>
      <c r="IO135"/>
      <c r="IP135"/>
      <c r="IQ135"/>
      <c r="IR135"/>
      <c r="IS135"/>
      <c r="IT135"/>
      <c r="IU135"/>
      <c r="IV135"/>
      <c r="IW135"/>
    </row>
    <row r="136" spans="1:257" s="3" customFormat="1" ht="22.5" customHeight="1">
      <c r="A136" s="744"/>
      <c r="B136" s="282">
        <v>80140</v>
      </c>
      <c r="C136" s="482"/>
      <c r="D136" s="250" t="s">
        <v>406</v>
      </c>
      <c r="E136" s="443">
        <f>SUM(E137:E140)</f>
        <v>61125</v>
      </c>
      <c r="F136" s="443">
        <f>SUM(F137:F140)</f>
        <v>61128.04</v>
      </c>
      <c r="G136" s="443">
        <f>SUM(G137:G140)</f>
        <v>0</v>
      </c>
      <c r="H136" s="509">
        <f t="shared" si="4"/>
        <v>100.00497341513292</v>
      </c>
      <c r="IO136"/>
      <c r="IP136"/>
      <c r="IQ136"/>
      <c r="IR136"/>
      <c r="IS136"/>
      <c r="IT136"/>
      <c r="IU136"/>
      <c r="IV136"/>
      <c r="IW136"/>
    </row>
    <row r="137" spans="1:257" s="3" customFormat="1" ht="54.75" customHeight="1">
      <c r="A137" s="744"/>
      <c r="B137" s="748"/>
      <c r="C137" s="482" t="s">
        <v>31</v>
      </c>
      <c r="D137" s="250" t="s">
        <v>117</v>
      </c>
      <c r="E137" s="443">
        <v>45980</v>
      </c>
      <c r="F137" s="443">
        <v>45979.92</v>
      </c>
      <c r="G137" s="443">
        <v>0</v>
      </c>
      <c r="H137" s="509">
        <f t="shared" si="4"/>
        <v>99.999826011309253</v>
      </c>
      <c r="IO137"/>
      <c r="IP137"/>
      <c r="IQ137"/>
      <c r="IR137"/>
      <c r="IS137"/>
      <c r="IT137"/>
      <c r="IU137"/>
      <c r="IV137"/>
      <c r="IW137"/>
    </row>
    <row r="138" spans="1:257" s="3" customFormat="1">
      <c r="A138" s="744"/>
      <c r="B138" s="749"/>
      <c r="C138" s="482" t="s">
        <v>40</v>
      </c>
      <c r="D138" s="250" t="s">
        <v>41</v>
      </c>
      <c r="E138" s="443">
        <v>14265</v>
      </c>
      <c r="F138" s="443">
        <v>14265.43</v>
      </c>
      <c r="G138" s="443">
        <v>0</v>
      </c>
      <c r="H138" s="509">
        <f t="shared" ref="H138:H201" si="7">(G138+F138)/E138*100</f>
        <v>100.00301437083772</v>
      </c>
      <c r="IO138"/>
      <c r="IP138"/>
      <c r="IQ138"/>
      <c r="IR138"/>
      <c r="IS138"/>
      <c r="IT138"/>
      <c r="IU138"/>
      <c r="IV138"/>
      <c r="IW138"/>
    </row>
    <row r="139" spans="1:257" s="3" customFormat="1">
      <c r="A139" s="744"/>
      <c r="B139" s="749"/>
      <c r="C139" s="314" t="s">
        <v>42</v>
      </c>
      <c r="D139" s="250" t="s">
        <v>43</v>
      </c>
      <c r="E139" s="443">
        <v>787</v>
      </c>
      <c r="F139" s="443">
        <v>789.29</v>
      </c>
      <c r="G139" s="443">
        <v>0</v>
      </c>
      <c r="H139" s="509">
        <f t="shared" si="7"/>
        <v>100.29097839898348</v>
      </c>
      <c r="IO139"/>
      <c r="IP139"/>
      <c r="IQ139"/>
      <c r="IR139"/>
      <c r="IS139"/>
      <c r="IT139"/>
      <c r="IU139"/>
      <c r="IV139"/>
      <c r="IW139"/>
    </row>
    <row r="140" spans="1:257" s="3" customFormat="1">
      <c r="A140" s="744"/>
      <c r="B140" s="750"/>
      <c r="C140" s="482" t="s">
        <v>27</v>
      </c>
      <c r="D140" s="250" t="s">
        <v>28</v>
      </c>
      <c r="E140" s="443">
        <v>93</v>
      </c>
      <c r="F140" s="443">
        <v>93.4</v>
      </c>
      <c r="G140" s="443">
        <v>0</v>
      </c>
      <c r="H140" s="509">
        <f t="shared" si="7"/>
        <v>100.43010752688173</v>
      </c>
      <c r="IO140"/>
      <c r="IP140"/>
      <c r="IQ140"/>
      <c r="IR140"/>
      <c r="IS140"/>
      <c r="IT140"/>
      <c r="IU140"/>
      <c r="IV140"/>
      <c r="IW140"/>
    </row>
    <row r="141" spans="1:257" s="3" customFormat="1">
      <c r="A141" s="744"/>
      <c r="B141" s="460">
        <v>80148</v>
      </c>
      <c r="C141" s="482"/>
      <c r="D141" s="250" t="s">
        <v>412</v>
      </c>
      <c r="E141" s="443">
        <f>E142</f>
        <v>156990</v>
      </c>
      <c r="F141" s="443">
        <f>F142</f>
        <v>158279.72</v>
      </c>
      <c r="G141" s="443">
        <v>0</v>
      </c>
      <c r="H141" s="509">
        <f t="shared" si="7"/>
        <v>100.82153003376011</v>
      </c>
      <c r="IO141"/>
      <c r="IP141"/>
      <c r="IQ141"/>
      <c r="IR141"/>
      <c r="IS141"/>
      <c r="IT141"/>
      <c r="IU141"/>
      <c r="IV141"/>
      <c r="IW141"/>
    </row>
    <row r="142" spans="1:257" s="3" customFormat="1">
      <c r="A142" s="744"/>
      <c r="B142" s="460"/>
      <c r="C142" s="314" t="s">
        <v>40</v>
      </c>
      <c r="D142" s="250" t="s">
        <v>41</v>
      </c>
      <c r="E142" s="443">
        <v>156990</v>
      </c>
      <c r="F142" s="443">
        <v>158279.72</v>
      </c>
      <c r="G142" s="443">
        <v>0</v>
      </c>
      <c r="H142" s="509">
        <f t="shared" si="7"/>
        <v>100.82153003376011</v>
      </c>
      <c r="IO142"/>
      <c r="IP142"/>
      <c r="IQ142"/>
      <c r="IR142"/>
      <c r="IS142"/>
      <c r="IT142"/>
      <c r="IU142"/>
      <c r="IV142"/>
      <c r="IW142"/>
    </row>
    <row r="143" spans="1:257" s="4" customFormat="1">
      <c r="A143" s="744"/>
      <c r="B143" s="282">
        <v>80195</v>
      </c>
      <c r="C143" s="482"/>
      <c r="D143" s="250" t="s">
        <v>88</v>
      </c>
      <c r="E143" s="443">
        <f>E144</f>
        <v>9931.68</v>
      </c>
      <c r="F143" s="443">
        <f>F144</f>
        <v>9831.82</v>
      </c>
      <c r="G143" s="443">
        <v>0</v>
      </c>
      <c r="H143" s="509">
        <f t="shared" si="7"/>
        <v>98.994530633286601</v>
      </c>
      <c r="IO143"/>
      <c r="IP143"/>
      <c r="IQ143"/>
      <c r="IR143"/>
      <c r="IS143"/>
      <c r="IT143"/>
      <c r="IU143"/>
      <c r="IV143"/>
      <c r="IW143"/>
    </row>
    <row r="144" spans="1:257" s="4" customFormat="1" ht="23.25" customHeight="1">
      <c r="A144" s="744"/>
      <c r="B144" s="282"/>
      <c r="C144" s="482">
        <v>2130</v>
      </c>
      <c r="D144" s="250" t="s">
        <v>89</v>
      </c>
      <c r="E144" s="443">
        <v>9931.68</v>
      </c>
      <c r="F144" s="443">
        <v>9831.82</v>
      </c>
      <c r="G144" s="443">
        <v>0</v>
      </c>
      <c r="H144" s="509">
        <f t="shared" si="7"/>
        <v>98.994530633286601</v>
      </c>
      <c r="IO144"/>
      <c r="IP144"/>
      <c r="IQ144"/>
      <c r="IR144"/>
      <c r="IS144"/>
      <c r="IT144"/>
      <c r="IU144"/>
      <c r="IV144"/>
      <c r="IW144"/>
    </row>
    <row r="145" spans="1:257" s="4" customFormat="1">
      <c r="A145" s="161">
        <v>851</v>
      </c>
      <c r="B145" s="161"/>
      <c r="C145" s="161"/>
      <c r="D145" s="439" t="s">
        <v>91</v>
      </c>
      <c r="E145" s="442">
        <f>E146+E149</f>
        <v>2405042</v>
      </c>
      <c r="F145" s="442">
        <f>F146+F149</f>
        <v>2372678.25</v>
      </c>
      <c r="G145" s="442">
        <f>G146+G149</f>
        <v>29999.59</v>
      </c>
      <c r="H145" s="508">
        <f t="shared" si="7"/>
        <v>99.901699845574427</v>
      </c>
      <c r="IO145"/>
      <c r="IP145"/>
      <c r="IQ145"/>
      <c r="IR145"/>
      <c r="IS145"/>
      <c r="IT145"/>
      <c r="IU145"/>
      <c r="IV145"/>
      <c r="IW145"/>
    </row>
    <row r="146" spans="1:257" s="4" customFormat="1">
      <c r="A146" s="744" t="s">
        <v>16</v>
      </c>
      <c r="B146" s="282">
        <v>85111</v>
      </c>
      <c r="C146" s="482"/>
      <c r="D146" s="440" t="s">
        <v>92</v>
      </c>
      <c r="E146" s="443">
        <f>SUM(E147:E148)</f>
        <v>43042</v>
      </c>
      <c r="F146" s="443">
        <f t="shared" ref="F146:G146" si="8">SUM(F147:F148)</f>
        <v>14415.25</v>
      </c>
      <c r="G146" s="443">
        <f t="shared" si="8"/>
        <v>29999.59</v>
      </c>
      <c r="H146" s="509">
        <f t="shared" si="7"/>
        <v>103.18953580223966</v>
      </c>
      <c r="IO146"/>
      <c r="IP146"/>
      <c r="IQ146"/>
      <c r="IR146"/>
      <c r="IS146"/>
      <c r="IT146"/>
      <c r="IU146"/>
      <c r="IV146"/>
      <c r="IW146"/>
    </row>
    <row r="147" spans="1:257" s="4" customFormat="1">
      <c r="A147" s="744"/>
      <c r="B147" s="748"/>
      <c r="C147" s="314" t="s">
        <v>27</v>
      </c>
      <c r="D147" s="250" t="s">
        <v>28</v>
      </c>
      <c r="E147" s="443">
        <v>13042</v>
      </c>
      <c r="F147" s="443">
        <v>14415.25</v>
      </c>
      <c r="G147" s="443">
        <v>0</v>
      </c>
      <c r="H147" s="509">
        <f t="shared" si="7"/>
        <v>110.52944333691153</v>
      </c>
      <c r="IO147"/>
      <c r="IP147"/>
      <c r="IQ147"/>
      <c r="IR147"/>
      <c r="IS147"/>
      <c r="IT147"/>
      <c r="IU147"/>
      <c r="IV147"/>
      <c r="IW147"/>
    </row>
    <row r="148" spans="1:257" s="4" customFormat="1" ht="46.5" customHeight="1">
      <c r="A148" s="744"/>
      <c r="B148" s="750"/>
      <c r="C148" s="482">
        <v>6300</v>
      </c>
      <c r="D148" s="250" t="s">
        <v>523</v>
      </c>
      <c r="E148" s="443">
        <v>30000</v>
      </c>
      <c r="F148" s="443">
        <v>0</v>
      </c>
      <c r="G148" s="443">
        <v>29999.59</v>
      </c>
      <c r="H148" s="509">
        <f t="shared" si="7"/>
        <v>99.998633333333331</v>
      </c>
      <c r="IO148"/>
      <c r="IP148"/>
      <c r="IQ148"/>
      <c r="IR148"/>
      <c r="IS148"/>
      <c r="IT148"/>
      <c r="IU148"/>
      <c r="IV148"/>
      <c r="IW148"/>
    </row>
    <row r="149" spans="1:257" s="4" customFormat="1" ht="33.75">
      <c r="A149" s="744"/>
      <c r="B149" s="282">
        <v>85156</v>
      </c>
      <c r="C149" s="482"/>
      <c r="D149" s="441" t="s">
        <v>93</v>
      </c>
      <c r="E149" s="443">
        <f>SUM(E150)</f>
        <v>2362000</v>
      </c>
      <c r="F149" s="443">
        <f>SUM(F150)</f>
        <v>2358263</v>
      </c>
      <c r="G149" s="443">
        <f>SUM(G150)</f>
        <v>0</v>
      </c>
      <c r="H149" s="509">
        <f t="shared" si="7"/>
        <v>99.841786621507197</v>
      </c>
      <c r="IO149"/>
      <c r="IP149"/>
      <c r="IQ149"/>
      <c r="IR149"/>
      <c r="IS149"/>
      <c r="IT149"/>
      <c r="IU149"/>
      <c r="IV149"/>
      <c r="IW149"/>
    </row>
    <row r="150" spans="1:257" ht="33.75">
      <c r="A150" s="744"/>
      <c r="B150" s="282"/>
      <c r="C150" s="482">
        <v>2110</v>
      </c>
      <c r="D150" s="250" t="s">
        <v>19</v>
      </c>
      <c r="E150" s="443">
        <v>2362000</v>
      </c>
      <c r="F150" s="443">
        <v>2358263</v>
      </c>
      <c r="G150" s="443">
        <v>0</v>
      </c>
      <c r="H150" s="509">
        <f t="shared" si="7"/>
        <v>99.841786621507197</v>
      </c>
    </row>
    <row r="151" spans="1:257">
      <c r="A151" s="161">
        <v>852</v>
      </c>
      <c r="B151" s="161"/>
      <c r="C151" s="161"/>
      <c r="D151" s="315" t="s">
        <v>94</v>
      </c>
      <c r="E151" s="442">
        <f>E152+E160+E163+E170+E175+E181+E183</f>
        <v>4753058</v>
      </c>
      <c r="F151" s="442">
        <f>F152+F160+F163+F170+F175+F181+F183</f>
        <v>4729916.82</v>
      </c>
      <c r="G151" s="442">
        <f>G152+G160+G163+G170+G175+G181</f>
        <v>18</v>
      </c>
      <c r="H151" s="508">
        <f t="shared" si="7"/>
        <v>99.513509408048463</v>
      </c>
    </row>
    <row r="152" spans="1:257">
      <c r="A152" s="748" t="s">
        <v>16</v>
      </c>
      <c r="B152" s="282">
        <v>85201</v>
      </c>
      <c r="C152" s="482"/>
      <c r="D152" s="250" t="s">
        <v>95</v>
      </c>
      <c r="E152" s="443">
        <f>SUM(E153:E159)</f>
        <v>1751905</v>
      </c>
      <c r="F152" s="443">
        <f>SUM(F153:F159)</f>
        <v>1750808.73</v>
      </c>
      <c r="G152" s="443">
        <f>SUM(G153:G159)</f>
        <v>0</v>
      </c>
      <c r="H152" s="509">
        <f t="shared" si="7"/>
        <v>99.937424118316926</v>
      </c>
    </row>
    <row r="153" spans="1:257" ht="22.5">
      <c r="A153" s="749"/>
      <c r="B153" s="748"/>
      <c r="C153" s="482" t="s">
        <v>96</v>
      </c>
      <c r="D153" s="250" t="s">
        <v>345</v>
      </c>
      <c r="E153" s="443">
        <v>8237</v>
      </c>
      <c r="F153" s="443">
        <v>8237.4599999999991</v>
      </c>
      <c r="G153" s="443">
        <v>0</v>
      </c>
      <c r="H153" s="509">
        <f t="shared" si="7"/>
        <v>100.00558455748451</v>
      </c>
    </row>
    <row r="154" spans="1:257" ht="33.75">
      <c r="A154" s="749"/>
      <c r="B154" s="749"/>
      <c r="C154" s="314" t="s">
        <v>325</v>
      </c>
      <c r="D154" s="250" t="s">
        <v>399</v>
      </c>
      <c r="E154" s="443">
        <v>5471</v>
      </c>
      <c r="F154" s="443">
        <v>5470.76</v>
      </c>
      <c r="G154" s="443">
        <v>0</v>
      </c>
      <c r="H154" s="509">
        <f t="shared" si="7"/>
        <v>99.995613233412541</v>
      </c>
    </row>
    <row r="155" spans="1:257" s="3" customFormat="1">
      <c r="A155" s="749"/>
      <c r="B155" s="749"/>
      <c r="C155" s="482" t="s">
        <v>42</v>
      </c>
      <c r="D155" s="250" t="s">
        <v>43</v>
      </c>
      <c r="E155" s="443">
        <f>2449+89</f>
        <v>2538</v>
      </c>
      <c r="F155" s="443">
        <v>3189.86</v>
      </c>
      <c r="G155" s="443">
        <v>0</v>
      </c>
      <c r="H155" s="509">
        <f t="shared" si="7"/>
        <v>125.68400315208825</v>
      </c>
      <c r="IO155"/>
      <c r="IP155"/>
      <c r="IQ155"/>
      <c r="IR155"/>
      <c r="IS155"/>
      <c r="IT155"/>
      <c r="IU155"/>
      <c r="IV155"/>
      <c r="IW155"/>
    </row>
    <row r="156" spans="1:257" s="3" customFormat="1" ht="22.5">
      <c r="A156" s="749"/>
      <c r="B156" s="749"/>
      <c r="C156" s="482" t="s">
        <v>82</v>
      </c>
      <c r="D156" s="250" t="s">
        <v>83</v>
      </c>
      <c r="E156" s="443">
        <f>7983</f>
        <v>7983</v>
      </c>
      <c r="F156" s="443">
        <v>7983.43</v>
      </c>
      <c r="G156" s="443">
        <v>0</v>
      </c>
      <c r="H156" s="509">
        <f t="shared" si="7"/>
        <v>100.00538644619819</v>
      </c>
      <c r="IO156"/>
      <c r="IP156"/>
      <c r="IQ156"/>
      <c r="IR156"/>
      <c r="IS156"/>
      <c r="IT156"/>
      <c r="IU156"/>
      <c r="IV156"/>
      <c r="IW156"/>
    </row>
    <row r="157" spans="1:257" s="3" customFormat="1">
      <c r="A157" s="749"/>
      <c r="B157" s="749"/>
      <c r="C157" s="482" t="s">
        <v>27</v>
      </c>
      <c r="D157" s="250" t="s">
        <v>28</v>
      </c>
      <c r="E157" s="443">
        <f>17</f>
        <v>17</v>
      </c>
      <c r="F157" s="443">
        <v>17.399999999999999</v>
      </c>
      <c r="G157" s="443">
        <v>0</v>
      </c>
      <c r="H157" s="509">
        <f t="shared" si="7"/>
        <v>102.35294117647058</v>
      </c>
      <c r="IO157"/>
      <c r="IP157"/>
      <c r="IQ157"/>
      <c r="IR157"/>
      <c r="IS157"/>
      <c r="IT157"/>
      <c r="IU157"/>
      <c r="IV157"/>
      <c r="IW157"/>
    </row>
    <row r="158" spans="1:257" s="3" customFormat="1" ht="24.75" customHeight="1">
      <c r="A158" s="749"/>
      <c r="B158" s="749"/>
      <c r="C158" s="482">
        <v>2130</v>
      </c>
      <c r="D158" s="250" t="s">
        <v>89</v>
      </c>
      <c r="E158" s="443">
        <v>128122</v>
      </c>
      <c r="F158" s="443">
        <v>128122</v>
      </c>
      <c r="G158" s="443">
        <v>0</v>
      </c>
      <c r="H158" s="509">
        <f t="shared" si="7"/>
        <v>100</v>
      </c>
      <c r="IO158"/>
      <c r="IP158"/>
      <c r="IQ158"/>
      <c r="IR158"/>
      <c r="IS158"/>
      <c r="IT158"/>
      <c r="IU158"/>
      <c r="IV158"/>
      <c r="IW158"/>
    </row>
    <row r="159" spans="1:257" s="3" customFormat="1" ht="35.25" customHeight="1">
      <c r="A159" s="749"/>
      <c r="B159" s="749"/>
      <c r="C159" s="482">
        <v>2320</v>
      </c>
      <c r="D159" s="250" t="s">
        <v>90</v>
      </c>
      <c r="E159" s="443">
        <v>1599537</v>
      </c>
      <c r="F159" s="443">
        <v>1597787.82</v>
      </c>
      <c r="G159" s="443">
        <v>0</v>
      </c>
      <c r="H159" s="509">
        <f t="shared" si="7"/>
        <v>99.89064460528266</v>
      </c>
      <c r="IO159"/>
      <c r="IP159"/>
      <c r="IQ159"/>
      <c r="IR159"/>
      <c r="IS159"/>
      <c r="IT159"/>
      <c r="IU159"/>
      <c r="IV159"/>
      <c r="IW159"/>
    </row>
    <row r="160" spans="1:257" s="3" customFormat="1">
      <c r="A160" s="749"/>
      <c r="B160" s="282">
        <v>85202</v>
      </c>
      <c r="C160" s="482"/>
      <c r="D160" s="250" t="s">
        <v>97</v>
      </c>
      <c r="E160" s="443">
        <f>SUM(E161:E162)</f>
        <v>2055407</v>
      </c>
      <c r="F160" s="443">
        <f>SUM(F161:F162)</f>
        <v>2055407.12</v>
      </c>
      <c r="G160" s="443">
        <f>SUM(G161:G162)</f>
        <v>0</v>
      </c>
      <c r="H160" s="509">
        <f t="shared" si="7"/>
        <v>100.00000583825978</v>
      </c>
      <c r="IO160"/>
      <c r="IP160"/>
      <c r="IQ160"/>
      <c r="IR160"/>
      <c r="IS160"/>
      <c r="IT160"/>
      <c r="IU160"/>
      <c r="IV160"/>
      <c r="IW160"/>
    </row>
    <row r="161" spans="1:257" s="3" customFormat="1" ht="57" customHeight="1">
      <c r="A161" s="749"/>
      <c r="B161" s="744"/>
      <c r="C161" s="482" t="s">
        <v>31</v>
      </c>
      <c r="D161" s="250" t="s">
        <v>117</v>
      </c>
      <c r="E161" s="443">
        <v>1900</v>
      </c>
      <c r="F161" s="443">
        <v>1900.12</v>
      </c>
      <c r="G161" s="443">
        <v>0</v>
      </c>
      <c r="H161" s="509">
        <f t="shared" si="7"/>
        <v>100.00631578947367</v>
      </c>
      <c r="IO161"/>
      <c r="IP161"/>
      <c r="IQ161"/>
      <c r="IR161"/>
      <c r="IS161"/>
      <c r="IT161"/>
      <c r="IU161"/>
      <c r="IV161"/>
      <c r="IW161"/>
    </row>
    <row r="162" spans="1:257" ht="23.25" customHeight="1">
      <c r="A162" s="749"/>
      <c r="B162" s="744"/>
      <c r="C162" s="482">
        <v>2130</v>
      </c>
      <c r="D162" s="250" t="s">
        <v>89</v>
      </c>
      <c r="E162" s="443">
        <v>2053507</v>
      </c>
      <c r="F162" s="443">
        <v>2053507</v>
      </c>
      <c r="G162" s="443">
        <v>0</v>
      </c>
      <c r="H162" s="509">
        <f t="shared" si="7"/>
        <v>100</v>
      </c>
    </row>
    <row r="163" spans="1:257">
      <c r="A163" s="749"/>
      <c r="B163" s="282">
        <v>85203</v>
      </c>
      <c r="C163" s="482"/>
      <c r="D163" s="250" t="s">
        <v>98</v>
      </c>
      <c r="E163" s="443">
        <f>SUM(E164:E169)</f>
        <v>713526</v>
      </c>
      <c r="F163" s="443">
        <f>SUM(F164:F169)</f>
        <v>721552</v>
      </c>
      <c r="G163" s="443">
        <f>SUM(G164:G169)</f>
        <v>18</v>
      </c>
      <c r="H163" s="509">
        <f t="shared" si="7"/>
        <v>101.12735905909524</v>
      </c>
    </row>
    <row r="164" spans="1:257" ht="56.25" customHeight="1">
      <c r="A164" s="749"/>
      <c r="B164" s="744"/>
      <c r="C164" s="482" t="s">
        <v>31</v>
      </c>
      <c r="D164" s="250" t="s">
        <v>117</v>
      </c>
      <c r="E164" s="443">
        <v>11092</v>
      </c>
      <c r="F164" s="443">
        <v>18142</v>
      </c>
      <c r="G164" s="443">
        <v>0</v>
      </c>
      <c r="H164" s="509">
        <f t="shared" si="7"/>
        <v>163.55932203389833</v>
      </c>
    </row>
    <row r="165" spans="1:257">
      <c r="A165" s="749"/>
      <c r="B165" s="744"/>
      <c r="C165" s="482" t="s">
        <v>87</v>
      </c>
      <c r="D165" s="440" t="s">
        <v>99</v>
      </c>
      <c r="E165" s="443">
        <v>0</v>
      </c>
      <c r="F165" s="443">
        <v>300</v>
      </c>
      <c r="G165" s="443">
        <v>0</v>
      </c>
      <c r="H165" s="509"/>
    </row>
    <row r="166" spans="1:257" ht="12" customHeight="1">
      <c r="A166" s="749"/>
      <c r="B166" s="744"/>
      <c r="C166" s="314" t="s">
        <v>59</v>
      </c>
      <c r="D166" s="250" t="s">
        <v>348</v>
      </c>
      <c r="E166" s="443">
        <v>0</v>
      </c>
      <c r="F166" s="443">
        <v>0</v>
      </c>
      <c r="G166" s="443">
        <v>18</v>
      </c>
      <c r="H166" s="509"/>
    </row>
    <row r="167" spans="1:257">
      <c r="A167" s="749"/>
      <c r="B167" s="744"/>
      <c r="C167" s="482" t="s">
        <v>42</v>
      </c>
      <c r="D167" s="250" t="s">
        <v>43</v>
      </c>
      <c r="E167" s="443">
        <v>0</v>
      </c>
      <c r="F167" s="443">
        <v>379.65</v>
      </c>
      <c r="G167" s="443">
        <v>0</v>
      </c>
      <c r="H167" s="509"/>
    </row>
    <row r="168" spans="1:257" ht="33.75">
      <c r="A168" s="749"/>
      <c r="B168" s="744"/>
      <c r="C168" s="482">
        <v>2110</v>
      </c>
      <c r="D168" s="250" t="s">
        <v>19</v>
      </c>
      <c r="E168" s="443">
        <v>702434</v>
      </c>
      <c r="F168" s="443">
        <v>702343.19</v>
      </c>
      <c r="G168" s="443">
        <v>0</v>
      </c>
      <c r="H168" s="509">
        <f t="shared" si="7"/>
        <v>99.987072095029561</v>
      </c>
    </row>
    <row r="169" spans="1:257" ht="33.75" customHeight="1">
      <c r="A169" s="749"/>
      <c r="B169" s="744"/>
      <c r="C169" s="482">
        <v>2360</v>
      </c>
      <c r="D169" s="250" t="s">
        <v>22</v>
      </c>
      <c r="E169" s="443">
        <v>0</v>
      </c>
      <c r="F169" s="443">
        <v>387.16</v>
      </c>
      <c r="G169" s="443">
        <v>0</v>
      </c>
      <c r="H169" s="509"/>
    </row>
    <row r="170" spans="1:257">
      <c r="A170" s="749"/>
      <c r="B170" s="282">
        <v>85204</v>
      </c>
      <c r="C170" s="482"/>
      <c r="D170" s="440" t="s">
        <v>100</v>
      </c>
      <c r="E170" s="443">
        <f>SUM(E171:E174)</f>
        <v>82703</v>
      </c>
      <c r="F170" s="443">
        <f>SUM(F171:F174)</f>
        <v>83133.820000000007</v>
      </c>
      <c r="G170" s="443">
        <f>SUM(G172:G174)</f>
        <v>0</v>
      </c>
      <c r="H170" s="509">
        <f t="shared" si="7"/>
        <v>100.52092427118725</v>
      </c>
    </row>
    <row r="171" spans="1:257">
      <c r="A171" s="749"/>
      <c r="B171" s="748"/>
      <c r="C171" s="314" t="s">
        <v>38</v>
      </c>
      <c r="D171" s="440" t="s">
        <v>39</v>
      </c>
      <c r="E171" s="443">
        <v>0</v>
      </c>
      <c r="F171" s="443">
        <v>317.62</v>
      </c>
      <c r="G171" s="443">
        <v>0</v>
      </c>
      <c r="H171" s="509"/>
    </row>
    <row r="172" spans="1:257">
      <c r="A172" s="749"/>
      <c r="B172" s="749"/>
      <c r="C172" s="314" t="s">
        <v>42</v>
      </c>
      <c r="D172" s="250" t="s">
        <v>43</v>
      </c>
      <c r="E172" s="443">
        <v>0</v>
      </c>
      <c r="F172" s="443">
        <v>6.6</v>
      </c>
      <c r="G172" s="443">
        <v>0</v>
      </c>
      <c r="H172" s="509"/>
    </row>
    <row r="173" spans="1:257">
      <c r="A173" s="749"/>
      <c r="B173" s="749"/>
      <c r="C173" s="482" t="s">
        <v>27</v>
      </c>
      <c r="D173" s="250" t="s">
        <v>28</v>
      </c>
      <c r="E173" s="443">
        <v>0</v>
      </c>
      <c r="F173" s="443">
        <v>106.44</v>
      </c>
      <c r="G173" s="443">
        <v>0</v>
      </c>
      <c r="H173" s="509"/>
    </row>
    <row r="174" spans="1:257" ht="33.75">
      <c r="A174" s="749"/>
      <c r="B174" s="750"/>
      <c r="C174" s="482">
        <v>2320</v>
      </c>
      <c r="D174" s="250" t="s">
        <v>349</v>
      </c>
      <c r="E174" s="443">
        <v>82703</v>
      </c>
      <c r="F174" s="443">
        <v>82703.16</v>
      </c>
      <c r="G174" s="443">
        <v>0</v>
      </c>
      <c r="H174" s="509">
        <f t="shared" si="7"/>
        <v>100.00019346335685</v>
      </c>
    </row>
    <row r="175" spans="1:257">
      <c r="A175" s="749"/>
      <c r="B175" s="282">
        <v>85218</v>
      </c>
      <c r="C175" s="482"/>
      <c r="D175" s="250" t="s">
        <v>101</v>
      </c>
      <c r="E175" s="443">
        <f>SUM(E176:E180)</f>
        <v>88897</v>
      </c>
      <c r="F175" s="443">
        <f>SUM(F176:F180)</f>
        <v>58395.7</v>
      </c>
      <c r="G175" s="443">
        <f>SUM(G176:G180)</f>
        <v>0</v>
      </c>
      <c r="H175" s="509">
        <f t="shared" si="7"/>
        <v>65.689168363386841</v>
      </c>
    </row>
    <row r="176" spans="1:257" ht="55.5" customHeight="1">
      <c r="A176" s="749"/>
      <c r="B176" s="744"/>
      <c r="C176" s="482" t="s">
        <v>31</v>
      </c>
      <c r="D176" s="250" t="s">
        <v>117</v>
      </c>
      <c r="E176" s="443">
        <v>42836</v>
      </c>
      <c r="F176" s="443">
        <v>33912.22</v>
      </c>
      <c r="G176" s="443">
        <v>0</v>
      </c>
      <c r="H176" s="509">
        <f t="shared" si="7"/>
        <v>79.167569334204885</v>
      </c>
    </row>
    <row r="177" spans="1:257" s="3" customFormat="1">
      <c r="A177" s="749"/>
      <c r="B177" s="744"/>
      <c r="C177" s="482" t="s">
        <v>40</v>
      </c>
      <c r="D177" s="250" t="s">
        <v>41</v>
      </c>
      <c r="E177" s="443">
        <v>9252</v>
      </c>
      <c r="F177" s="443">
        <v>11570.34</v>
      </c>
      <c r="G177" s="443">
        <v>0</v>
      </c>
      <c r="H177" s="509">
        <f t="shared" si="7"/>
        <v>125.05771725032426</v>
      </c>
      <c r="IO177"/>
      <c r="IP177"/>
      <c r="IQ177"/>
      <c r="IR177"/>
      <c r="IS177"/>
      <c r="IT177"/>
      <c r="IU177"/>
      <c r="IV177"/>
      <c r="IW177"/>
    </row>
    <row r="178" spans="1:257">
      <c r="A178" s="749"/>
      <c r="B178" s="744"/>
      <c r="C178" s="482" t="s">
        <v>42</v>
      </c>
      <c r="D178" s="250" t="s">
        <v>43</v>
      </c>
      <c r="E178" s="443">
        <v>300</v>
      </c>
      <c r="F178" s="443">
        <v>2155.8000000000002</v>
      </c>
      <c r="G178" s="443">
        <v>0</v>
      </c>
      <c r="H178" s="509">
        <f t="shared" si="7"/>
        <v>718.60000000000014</v>
      </c>
    </row>
    <row r="179" spans="1:257">
      <c r="A179" s="749"/>
      <c r="B179" s="744"/>
      <c r="C179" s="482" t="s">
        <v>27</v>
      </c>
      <c r="D179" s="250" t="s">
        <v>28</v>
      </c>
      <c r="E179" s="443">
        <v>30650</v>
      </c>
      <c r="F179" s="443">
        <v>5874</v>
      </c>
      <c r="G179" s="443">
        <v>0</v>
      </c>
      <c r="H179" s="509">
        <f t="shared" si="7"/>
        <v>19.164763458401303</v>
      </c>
    </row>
    <row r="180" spans="1:257" ht="21.75" customHeight="1">
      <c r="A180" s="749"/>
      <c r="B180" s="744"/>
      <c r="C180" s="482">
        <v>2130</v>
      </c>
      <c r="D180" s="250" t="s">
        <v>89</v>
      </c>
      <c r="E180" s="443">
        <v>5859</v>
      </c>
      <c r="F180" s="443">
        <v>4883.34</v>
      </c>
      <c r="G180" s="443">
        <v>0</v>
      </c>
      <c r="H180" s="509">
        <f t="shared" si="7"/>
        <v>83.347670250896059</v>
      </c>
    </row>
    <row r="181" spans="1:257">
      <c r="A181" s="749"/>
      <c r="B181" s="282">
        <v>85226</v>
      </c>
      <c r="C181" s="482"/>
      <c r="D181" s="250" t="s">
        <v>522</v>
      </c>
      <c r="E181" s="443">
        <f>SUM(E182:E182)</f>
        <v>4091</v>
      </c>
      <c r="F181" s="443">
        <f>SUM(F182:F182)</f>
        <v>4090.82</v>
      </c>
      <c r="G181" s="443">
        <f>SUM(G182:G182)</f>
        <v>0</v>
      </c>
      <c r="H181" s="509">
        <f t="shared" si="7"/>
        <v>99.995600097775608</v>
      </c>
    </row>
    <row r="182" spans="1:257" ht="33.75">
      <c r="A182" s="749"/>
      <c r="B182" s="282"/>
      <c r="C182" s="482">
        <v>2320</v>
      </c>
      <c r="D182" s="250" t="s">
        <v>349</v>
      </c>
      <c r="E182" s="443">
        <v>4091</v>
      </c>
      <c r="F182" s="443">
        <v>4090.82</v>
      </c>
      <c r="G182" s="443">
        <v>0</v>
      </c>
      <c r="H182" s="509">
        <f t="shared" si="7"/>
        <v>99.995600097775608</v>
      </c>
    </row>
    <row r="183" spans="1:257">
      <c r="A183" s="749"/>
      <c r="B183" s="461">
        <v>85295</v>
      </c>
      <c r="C183" s="482"/>
      <c r="D183" s="250" t="s">
        <v>88</v>
      </c>
      <c r="E183" s="443">
        <f>E184+E185</f>
        <v>56529</v>
      </c>
      <c r="F183" s="443">
        <f>F184+F185</f>
        <v>56528.63</v>
      </c>
      <c r="G183" s="443">
        <v>0</v>
      </c>
      <c r="H183" s="509">
        <f t="shared" si="7"/>
        <v>99.99934546869747</v>
      </c>
    </row>
    <row r="184" spans="1:257">
      <c r="A184" s="749"/>
      <c r="B184" s="748"/>
      <c r="C184" s="314" t="s">
        <v>42</v>
      </c>
      <c r="D184" s="250" t="s">
        <v>43</v>
      </c>
      <c r="E184" s="443">
        <v>329</v>
      </c>
      <c r="F184" s="443">
        <v>328.63</v>
      </c>
      <c r="G184" s="443">
        <v>0</v>
      </c>
      <c r="H184" s="509">
        <f t="shared" si="7"/>
        <v>99.887537993920972</v>
      </c>
    </row>
    <row r="185" spans="1:257" ht="45">
      <c r="A185" s="750"/>
      <c r="B185" s="750"/>
      <c r="C185" s="314">
        <v>2120</v>
      </c>
      <c r="D185" s="250" t="s">
        <v>521</v>
      </c>
      <c r="E185" s="443">
        <v>56200</v>
      </c>
      <c r="F185" s="443">
        <v>56200</v>
      </c>
      <c r="G185" s="443">
        <v>0</v>
      </c>
      <c r="H185" s="509">
        <f t="shared" si="7"/>
        <v>100</v>
      </c>
    </row>
    <row r="186" spans="1:257" ht="13.5" customHeight="1">
      <c r="A186" s="161">
        <v>853</v>
      </c>
      <c r="B186" s="161"/>
      <c r="C186" s="161"/>
      <c r="D186" s="315" t="s">
        <v>102</v>
      </c>
      <c r="E186" s="442">
        <f>E187+E189+E195+E197</f>
        <v>1940782.8</v>
      </c>
      <c r="F186" s="442">
        <f t="shared" ref="F186:G186" si="9">F187+F189+F195+F197</f>
        <v>1905075.33</v>
      </c>
      <c r="G186" s="442">
        <f t="shared" si="9"/>
        <v>306</v>
      </c>
      <c r="H186" s="508">
        <f t="shared" si="7"/>
        <v>98.175917985258323</v>
      </c>
    </row>
    <row r="187" spans="1:257" ht="12.75" customHeight="1">
      <c r="A187" s="744"/>
      <c r="B187" s="282">
        <v>85321</v>
      </c>
      <c r="C187" s="482"/>
      <c r="D187" s="250" t="s">
        <v>115</v>
      </c>
      <c r="E187" s="443">
        <f>SUM(E188)</f>
        <v>81000</v>
      </c>
      <c r="F187" s="443">
        <f>SUM(F188)</f>
        <v>80947.03</v>
      </c>
      <c r="G187" s="443">
        <f>SUM(G188)</f>
        <v>0</v>
      </c>
      <c r="H187" s="509">
        <f t="shared" si="7"/>
        <v>99.934604938271605</v>
      </c>
    </row>
    <row r="188" spans="1:257" ht="33.75">
      <c r="A188" s="744"/>
      <c r="B188" s="282"/>
      <c r="C188" s="482">
        <v>2110</v>
      </c>
      <c r="D188" s="250" t="s">
        <v>19</v>
      </c>
      <c r="E188" s="443">
        <v>81000</v>
      </c>
      <c r="F188" s="443">
        <v>80947.03</v>
      </c>
      <c r="G188" s="443">
        <v>0</v>
      </c>
      <c r="H188" s="509">
        <f t="shared" si="7"/>
        <v>99.934604938271605</v>
      </c>
    </row>
    <row r="189" spans="1:257">
      <c r="A189" s="744"/>
      <c r="B189" s="282">
        <v>85333</v>
      </c>
      <c r="C189" s="482"/>
      <c r="D189" s="250" t="s">
        <v>103</v>
      </c>
      <c r="E189" s="443">
        <f>SUM(E190:E194)</f>
        <v>767370</v>
      </c>
      <c r="F189" s="443">
        <f>SUM(F190:F194)</f>
        <v>767202.36</v>
      </c>
      <c r="G189" s="443">
        <f>SUM(G190:G194)</f>
        <v>306</v>
      </c>
      <c r="H189" s="509">
        <f t="shared" si="7"/>
        <v>100.01803041557527</v>
      </c>
    </row>
    <row r="190" spans="1:257" ht="55.5" customHeight="1">
      <c r="A190" s="744"/>
      <c r="B190" s="744"/>
      <c r="C190" s="482" t="s">
        <v>31</v>
      </c>
      <c r="D190" s="250" t="s">
        <v>117</v>
      </c>
      <c r="E190" s="443">
        <v>8100</v>
      </c>
      <c r="F190" s="443">
        <v>8100</v>
      </c>
      <c r="G190" s="443">
        <v>0</v>
      </c>
      <c r="H190" s="509">
        <f t="shared" si="7"/>
        <v>100</v>
      </c>
    </row>
    <row r="191" spans="1:257" ht="14.25" customHeight="1">
      <c r="A191" s="744"/>
      <c r="B191" s="744"/>
      <c r="C191" s="314" t="s">
        <v>59</v>
      </c>
      <c r="D191" s="250" t="s">
        <v>348</v>
      </c>
      <c r="E191" s="443">
        <v>306</v>
      </c>
      <c r="F191" s="443">
        <v>0</v>
      </c>
      <c r="G191" s="443">
        <v>306</v>
      </c>
      <c r="H191" s="509">
        <f t="shared" si="7"/>
        <v>100</v>
      </c>
    </row>
    <row r="192" spans="1:257">
      <c r="A192" s="744"/>
      <c r="B192" s="744"/>
      <c r="C192" s="482" t="s">
        <v>42</v>
      </c>
      <c r="D192" s="250" t="s">
        <v>43</v>
      </c>
      <c r="E192" s="443">
        <v>2170</v>
      </c>
      <c r="F192" s="443">
        <v>2478.35</v>
      </c>
      <c r="G192" s="443">
        <v>0</v>
      </c>
      <c r="H192" s="509">
        <f t="shared" si="7"/>
        <v>114.20967741935483</v>
      </c>
    </row>
    <row r="193" spans="1:257">
      <c r="A193" s="744"/>
      <c r="B193" s="744"/>
      <c r="C193" s="482" t="s">
        <v>27</v>
      </c>
      <c r="D193" s="250" t="s">
        <v>28</v>
      </c>
      <c r="E193" s="443">
        <v>394</v>
      </c>
      <c r="F193" s="443">
        <v>224.01</v>
      </c>
      <c r="G193" s="443">
        <v>0</v>
      </c>
      <c r="H193" s="509">
        <f t="shared" si="7"/>
        <v>56.855329949238573</v>
      </c>
    </row>
    <row r="194" spans="1:257" ht="33.75">
      <c r="A194" s="744"/>
      <c r="B194" s="744"/>
      <c r="C194" s="482">
        <v>2440</v>
      </c>
      <c r="D194" s="250" t="s">
        <v>60</v>
      </c>
      <c r="E194" s="443">
        <v>756400</v>
      </c>
      <c r="F194" s="443">
        <v>756400</v>
      </c>
      <c r="G194" s="443">
        <v>0</v>
      </c>
      <c r="H194" s="509">
        <f t="shared" si="7"/>
        <v>100</v>
      </c>
    </row>
    <row r="195" spans="1:257">
      <c r="A195" s="744"/>
      <c r="B195" s="282">
        <v>85334</v>
      </c>
      <c r="C195" s="482"/>
      <c r="D195" s="250" t="s">
        <v>104</v>
      </c>
      <c r="E195" s="443">
        <f>SUM(E196)</f>
        <v>41663</v>
      </c>
      <c r="F195" s="443">
        <f>SUM(F196)</f>
        <v>41662.6</v>
      </c>
      <c r="G195" s="443">
        <f>SUM(G196)</f>
        <v>0</v>
      </c>
      <c r="H195" s="509">
        <f t="shared" si="7"/>
        <v>99.999039915512569</v>
      </c>
    </row>
    <row r="196" spans="1:257" ht="33.75">
      <c r="A196" s="744"/>
      <c r="B196" s="282"/>
      <c r="C196" s="482">
        <v>2110</v>
      </c>
      <c r="D196" s="250" t="s">
        <v>19</v>
      </c>
      <c r="E196" s="443">
        <v>41663</v>
      </c>
      <c r="F196" s="443">
        <v>41662.6</v>
      </c>
      <c r="G196" s="443">
        <v>0</v>
      </c>
      <c r="H196" s="509">
        <f t="shared" si="7"/>
        <v>99.999039915512569</v>
      </c>
    </row>
    <row r="197" spans="1:257">
      <c r="A197" s="744"/>
      <c r="B197" s="282">
        <v>85395</v>
      </c>
      <c r="C197" s="482"/>
      <c r="D197" s="250" t="s">
        <v>88</v>
      </c>
      <c r="E197" s="443">
        <f>SUM(E198:E202)</f>
        <v>1050749.8</v>
      </c>
      <c r="F197" s="443">
        <f>SUM(F198:F202)</f>
        <v>1015263.3400000001</v>
      </c>
      <c r="G197" s="443">
        <f>SUM(G198:G202)</f>
        <v>0</v>
      </c>
      <c r="H197" s="509">
        <f t="shared" si="7"/>
        <v>96.622748821841327</v>
      </c>
    </row>
    <row r="198" spans="1:257">
      <c r="A198" s="744"/>
      <c r="B198" s="748"/>
      <c r="C198" s="314" t="s">
        <v>42</v>
      </c>
      <c r="D198" s="250" t="s">
        <v>43</v>
      </c>
      <c r="E198" s="443">
        <v>1208</v>
      </c>
      <c r="F198" s="443">
        <f>223.36+1024.75+1345.84</f>
        <v>2593.9499999999998</v>
      </c>
      <c r="G198" s="443">
        <v>0</v>
      </c>
      <c r="H198" s="509"/>
    </row>
    <row r="199" spans="1:257" ht="22.5">
      <c r="A199" s="744"/>
      <c r="B199" s="749"/>
      <c r="C199" s="314">
        <v>2008</v>
      </c>
      <c r="D199" s="338" t="s">
        <v>408</v>
      </c>
      <c r="E199" s="443">
        <v>931834.05</v>
      </c>
      <c r="F199" s="443">
        <v>929132.04</v>
      </c>
      <c r="G199" s="443">
        <v>0</v>
      </c>
      <c r="H199" s="509">
        <f t="shared" si="7"/>
        <v>99.710033133045528</v>
      </c>
    </row>
    <row r="200" spans="1:257" ht="22.5">
      <c r="A200" s="744"/>
      <c r="B200" s="749"/>
      <c r="C200" s="314">
        <v>2009</v>
      </c>
      <c r="D200" s="338" t="s">
        <v>408</v>
      </c>
      <c r="E200" s="443">
        <v>49707.75</v>
      </c>
      <c r="F200" s="443">
        <v>49567.17</v>
      </c>
      <c r="G200" s="443">
        <v>0</v>
      </c>
      <c r="H200" s="509">
        <f t="shared" si="7"/>
        <v>99.717186957768149</v>
      </c>
    </row>
    <row r="201" spans="1:257" ht="33.75" customHeight="1">
      <c r="A201" s="744"/>
      <c r="B201" s="749"/>
      <c r="C201" s="482">
        <v>2440</v>
      </c>
      <c r="D201" s="250" t="s">
        <v>60</v>
      </c>
      <c r="E201" s="443">
        <v>68000</v>
      </c>
      <c r="F201" s="443">
        <v>33966.019999999997</v>
      </c>
      <c r="G201" s="443">
        <v>0</v>
      </c>
      <c r="H201" s="509">
        <f t="shared" si="7"/>
        <v>49.950029411764703</v>
      </c>
    </row>
    <row r="202" spans="1:257" ht="35.25" customHeight="1">
      <c r="A202" s="744"/>
      <c r="B202" s="749"/>
      <c r="C202" s="482">
        <v>2910</v>
      </c>
      <c r="D202" s="250" t="s">
        <v>84</v>
      </c>
      <c r="E202" s="443">
        <v>0</v>
      </c>
      <c r="F202" s="443">
        <v>4.16</v>
      </c>
      <c r="G202" s="443">
        <v>0</v>
      </c>
      <c r="H202" s="509"/>
    </row>
    <row r="203" spans="1:257">
      <c r="A203" s="161">
        <v>854</v>
      </c>
      <c r="B203" s="161"/>
      <c r="C203" s="161"/>
      <c r="D203" s="315" t="s">
        <v>105</v>
      </c>
      <c r="E203" s="442">
        <f>E204+E209+E214+E218+E222</f>
        <v>394752</v>
      </c>
      <c r="F203" s="446">
        <f>F204+F209+F214+F218+F222</f>
        <v>383952.68</v>
      </c>
      <c r="G203" s="446">
        <f>G204+G209+G214+G218+G222</f>
        <v>3653.26</v>
      </c>
      <c r="H203" s="508">
        <f t="shared" ref="H203:H228" si="10">(G203+F203)/E203*100</f>
        <v>98.18973431420234</v>
      </c>
    </row>
    <row r="204" spans="1:257" ht="22.5">
      <c r="A204" s="748"/>
      <c r="B204" s="282">
        <v>85406</v>
      </c>
      <c r="C204" s="482"/>
      <c r="D204" s="250" t="s">
        <v>106</v>
      </c>
      <c r="E204" s="443">
        <f>SUM(E205:E208)</f>
        <v>19342</v>
      </c>
      <c r="F204" s="443">
        <f>SUM(F205:F208)</f>
        <v>19489.78</v>
      </c>
      <c r="G204" s="443">
        <f>SUM(G206:G208)</f>
        <v>0</v>
      </c>
      <c r="H204" s="509">
        <f t="shared" si="10"/>
        <v>100.76403681108468</v>
      </c>
    </row>
    <row r="205" spans="1:257">
      <c r="A205" s="749"/>
      <c r="B205" s="748"/>
      <c r="C205" s="314" t="s">
        <v>38</v>
      </c>
      <c r="D205" s="440" t="s">
        <v>39</v>
      </c>
      <c r="E205" s="443">
        <v>0</v>
      </c>
      <c r="F205" s="443">
        <v>86.01</v>
      </c>
      <c r="G205" s="443">
        <v>0</v>
      </c>
      <c r="H205" s="509"/>
    </row>
    <row r="206" spans="1:257" ht="55.5" customHeight="1">
      <c r="A206" s="749"/>
      <c r="B206" s="749"/>
      <c r="C206" s="482" t="s">
        <v>31</v>
      </c>
      <c r="D206" s="250" t="s">
        <v>117</v>
      </c>
      <c r="E206" s="443">
        <v>17009</v>
      </c>
      <c r="F206" s="443">
        <v>17583.77</v>
      </c>
      <c r="G206" s="443">
        <v>0</v>
      </c>
      <c r="H206" s="509">
        <f t="shared" si="10"/>
        <v>103.37921100593803</v>
      </c>
    </row>
    <row r="207" spans="1:257" s="3" customFormat="1">
      <c r="A207" s="749"/>
      <c r="B207" s="749"/>
      <c r="C207" s="482" t="s">
        <v>42</v>
      </c>
      <c r="D207" s="250" t="s">
        <v>43</v>
      </c>
      <c r="E207" s="443">
        <v>800</v>
      </c>
      <c r="F207" s="443">
        <v>277.13</v>
      </c>
      <c r="G207" s="443">
        <v>0</v>
      </c>
      <c r="H207" s="509">
        <f t="shared" si="10"/>
        <v>34.641249999999999</v>
      </c>
      <c r="IO207"/>
      <c r="IP207"/>
      <c r="IQ207"/>
      <c r="IR207"/>
      <c r="IS207"/>
      <c r="IT207"/>
      <c r="IU207"/>
      <c r="IV207"/>
      <c r="IW207"/>
    </row>
    <row r="208" spans="1:257" s="3" customFormat="1">
      <c r="A208" s="749"/>
      <c r="B208" s="749"/>
      <c r="C208" s="314" t="s">
        <v>27</v>
      </c>
      <c r="D208" s="250" t="s">
        <v>28</v>
      </c>
      <c r="E208" s="443">
        <v>1533</v>
      </c>
      <c r="F208" s="443">
        <v>1542.87</v>
      </c>
      <c r="G208" s="443">
        <v>0</v>
      </c>
      <c r="H208" s="509">
        <f t="shared" si="10"/>
        <v>100.64383561643835</v>
      </c>
      <c r="IO208"/>
      <c r="IP208"/>
      <c r="IQ208"/>
      <c r="IR208"/>
      <c r="IS208"/>
      <c r="IT208"/>
      <c r="IU208"/>
      <c r="IV208"/>
      <c r="IW208"/>
    </row>
    <row r="209" spans="1:8">
      <c r="A209" s="749"/>
      <c r="B209" s="282">
        <v>85407</v>
      </c>
      <c r="C209" s="482"/>
      <c r="D209" s="250" t="s">
        <v>107</v>
      </c>
      <c r="E209" s="443">
        <f>SUM(E210:E213)</f>
        <v>14064</v>
      </c>
      <c r="F209" s="443">
        <f>SUM(F210:F213)</f>
        <v>8670.4599999999991</v>
      </c>
      <c r="G209" s="443">
        <f>SUM(G210:G213)</f>
        <v>0</v>
      </c>
      <c r="H209" s="509">
        <f t="shared" si="10"/>
        <v>61.65002844141069</v>
      </c>
    </row>
    <row r="210" spans="1:8" ht="56.25" customHeight="1">
      <c r="A210" s="749"/>
      <c r="B210" s="744"/>
      <c r="C210" s="482" t="s">
        <v>31</v>
      </c>
      <c r="D210" s="250" t="s">
        <v>117</v>
      </c>
      <c r="E210" s="443">
        <v>4050</v>
      </c>
      <c r="F210" s="443">
        <v>5310</v>
      </c>
      <c r="G210" s="443">
        <v>0</v>
      </c>
      <c r="H210" s="509">
        <f t="shared" si="10"/>
        <v>131.11111111111111</v>
      </c>
    </row>
    <row r="211" spans="1:8">
      <c r="A211" s="749"/>
      <c r="B211" s="744"/>
      <c r="C211" s="482" t="s">
        <v>40</v>
      </c>
      <c r="D211" s="440" t="s">
        <v>41</v>
      </c>
      <c r="E211" s="443">
        <v>9090</v>
      </c>
      <c r="F211" s="443">
        <v>2975</v>
      </c>
      <c r="G211" s="443">
        <v>0</v>
      </c>
      <c r="H211" s="509">
        <f t="shared" si="10"/>
        <v>32.72827282728273</v>
      </c>
    </row>
    <row r="212" spans="1:8">
      <c r="A212" s="749"/>
      <c r="B212" s="744"/>
      <c r="C212" s="482" t="s">
        <v>42</v>
      </c>
      <c r="D212" s="250" t="s">
        <v>43</v>
      </c>
      <c r="E212" s="443">
        <v>849</v>
      </c>
      <c r="F212" s="443">
        <v>310.45999999999998</v>
      </c>
      <c r="G212" s="443">
        <v>0</v>
      </c>
      <c r="H212" s="509">
        <f t="shared" si="10"/>
        <v>36.567726737338042</v>
      </c>
    </row>
    <row r="213" spans="1:8">
      <c r="A213" s="749"/>
      <c r="B213" s="744"/>
      <c r="C213" s="482" t="s">
        <v>27</v>
      </c>
      <c r="D213" s="250" t="s">
        <v>28</v>
      </c>
      <c r="E213" s="443">
        <v>75</v>
      </c>
      <c r="F213" s="443">
        <v>75</v>
      </c>
      <c r="G213" s="443">
        <v>0</v>
      </c>
      <c r="H213" s="509">
        <f t="shared" si="10"/>
        <v>100</v>
      </c>
    </row>
    <row r="214" spans="1:8">
      <c r="A214" s="749"/>
      <c r="B214" s="282">
        <v>85410</v>
      </c>
      <c r="C214" s="482"/>
      <c r="D214" s="250" t="s">
        <v>108</v>
      </c>
      <c r="E214" s="443">
        <f>E215+E216+E217</f>
        <v>26525</v>
      </c>
      <c r="F214" s="447">
        <f>F215+F216+F217</f>
        <v>23468.41</v>
      </c>
      <c r="G214" s="447">
        <f>G215+G216+G217</f>
        <v>3653.26</v>
      </c>
      <c r="H214" s="509">
        <f t="shared" si="10"/>
        <v>102.24946277097078</v>
      </c>
    </row>
    <row r="215" spans="1:8" ht="56.25" customHeight="1">
      <c r="A215" s="749"/>
      <c r="B215" s="748"/>
      <c r="C215" s="482" t="s">
        <v>31</v>
      </c>
      <c r="D215" s="250" t="s">
        <v>117</v>
      </c>
      <c r="E215" s="443">
        <v>20950</v>
      </c>
      <c r="F215" s="443">
        <v>21546.41</v>
      </c>
      <c r="G215" s="443">
        <v>0</v>
      </c>
      <c r="H215" s="509">
        <f t="shared" si="10"/>
        <v>102.84682577565631</v>
      </c>
    </row>
    <row r="216" spans="1:8">
      <c r="A216" s="749"/>
      <c r="B216" s="749"/>
      <c r="C216" s="482" t="s">
        <v>40</v>
      </c>
      <c r="D216" s="440" t="s">
        <v>41</v>
      </c>
      <c r="E216" s="443">
        <v>1922</v>
      </c>
      <c r="F216" s="443">
        <v>1922</v>
      </c>
      <c r="G216" s="443">
        <v>0</v>
      </c>
      <c r="H216" s="509">
        <f t="shared" si="10"/>
        <v>100</v>
      </c>
    </row>
    <row r="217" spans="1:8" ht="12.75" customHeight="1">
      <c r="A217" s="749"/>
      <c r="B217" s="750"/>
      <c r="C217" s="314" t="s">
        <v>59</v>
      </c>
      <c r="D217" s="338" t="s">
        <v>348</v>
      </c>
      <c r="E217" s="443">
        <v>3653</v>
      </c>
      <c r="F217" s="443">
        <v>0</v>
      </c>
      <c r="G217" s="443">
        <v>3653.26</v>
      </c>
      <c r="H217" s="509">
        <f t="shared" si="10"/>
        <v>100.00711743772244</v>
      </c>
    </row>
    <row r="218" spans="1:8">
      <c r="A218" s="749"/>
      <c r="B218" s="282">
        <v>85415</v>
      </c>
      <c r="C218" s="482"/>
      <c r="D218" s="250" t="s">
        <v>109</v>
      </c>
      <c r="E218" s="443">
        <f>SUM(E219:E221)</f>
        <v>310021</v>
      </c>
      <c r="F218" s="443">
        <f t="shared" ref="F218:G218" si="11">SUM(F219:F221)</f>
        <v>308102.82</v>
      </c>
      <c r="G218" s="443">
        <f t="shared" si="11"/>
        <v>0</v>
      </c>
      <c r="H218" s="509">
        <f t="shared" si="10"/>
        <v>99.381274171749652</v>
      </c>
    </row>
    <row r="219" spans="1:8">
      <c r="A219" s="749"/>
      <c r="B219" s="748"/>
      <c r="C219" s="314" t="s">
        <v>42</v>
      </c>
      <c r="D219" s="250" t="s">
        <v>43</v>
      </c>
      <c r="E219" s="443">
        <v>21</v>
      </c>
      <c r="F219" s="443">
        <v>102.82</v>
      </c>
      <c r="G219" s="443">
        <v>0</v>
      </c>
      <c r="H219" s="509">
        <f t="shared" si="10"/>
        <v>489.61904761904759</v>
      </c>
    </row>
    <row r="220" spans="1:8" ht="26.25" customHeight="1">
      <c r="A220" s="749"/>
      <c r="B220" s="749"/>
      <c r="C220" s="314">
        <v>2888</v>
      </c>
      <c r="D220" s="752" t="s">
        <v>520</v>
      </c>
      <c r="E220" s="443">
        <v>210955</v>
      </c>
      <c r="F220" s="443">
        <v>209594</v>
      </c>
      <c r="G220" s="443">
        <v>0</v>
      </c>
      <c r="H220" s="509">
        <f t="shared" si="10"/>
        <v>99.354838709677423</v>
      </c>
    </row>
    <row r="221" spans="1:8" ht="30" customHeight="1">
      <c r="A221" s="749"/>
      <c r="B221" s="750"/>
      <c r="C221" s="482">
        <v>2889</v>
      </c>
      <c r="D221" s="753"/>
      <c r="E221" s="443">
        <v>99045</v>
      </c>
      <c r="F221" s="443">
        <v>98406</v>
      </c>
      <c r="G221" s="443">
        <v>0</v>
      </c>
      <c r="H221" s="509">
        <f t="shared" si="10"/>
        <v>99.354838709677423</v>
      </c>
    </row>
    <row r="222" spans="1:8">
      <c r="A222" s="749"/>
      <c r="B222" s="282">
        <v>85420</v>
      </c>
      <c r="C222" s="482"/>
      <c r="D222" s="250" t="s">
        <v>110</v>
      </c>
      <c r="E222" s="443">
        <f>SUM(E223:E224)</f>
        <v>24800</v>
      </c>
      <c r="F222" s="443">
        <f>SUM(F223:F224)</f>
        <v>24221.210000000003</v>
      </c>
      <c r="G222" s="443">
        <f>SUM(G223:G224)</f>
        <v>0</v>
      </c>
      <c r="H222" s="509">
        <f t="shared" si="10"/>
        <v>97.666169354838715</v>
      </c>
    </row>
    <row r="223" spans="1:8">
      <c r="A223" s="749"/>
      <c r="B223" s="748"/>
      <c r="C223" s="314" t="s">
        <v>40</v>
      </c>
      <c r="D223" s="440" t="s">
        <v>41</v>
      </c>
      <c r="E223" s="443">
        <v>24000</v>
      </c>
      <c r="F223" s="443">
        <v>23696.31</v>
      </c>
      <c r="G223" s="443">
        <v>0</v>
      </c>
      <c r="H223" s="509">
        <f t="shared" si="10"/>
        <v>98.734625000000008</v>
      </c>
    </row>
    <row r="224" spans="1:8">
      <c r="A224" s="749"/>
      <c r="B224" s="749"/>
      <c r="C224" s="482" t="s">
        <v>42</v>
      </c>
      <c r="D224" s="250" t="s">
        <v>43</v>
      </c>
      <c r="E224" s="443">
        <v>800</v>
      </c>
      <c r="F224" s="443">
        <v>524.9</v>
      </c>
      <c r="G224" s="443">
        <v>0</v>
      </c>
      <c r="H224" s="509">
        <f t="shared" si="10"/>
        <v>65.612499999999997</v>
      </c>
    </row>
    <row r="225" spans="1:8">
      <c r="A225" s="161">
        <v>926</v>
      </c>
      <c r="B225" s="161"/>
      <c r="C225" s="161"/>
      <c r="D225" s="439" t="s">
        <v>145</v>
      </c>
      <c r="E225" s="442">
        <f>E226</f>
        <v>333000</v>
      </c>
      <c r="F225" s="442">
        <f>F226</f>
        <v>0</v>
      </c>
      <c r="G225" s="442">
        <f>G226</f>
        <v>333000</v>
      </c>
      <c r="H225" s="508">
        <f t="shared" si="10"/>
        <v>100</v>
      </c>
    </row>
    <row r="226" spans="1:8">
      <c r="A226" s="748"/>
      <c r="B226" s="282">
        <v>92601</v>
      </c>
      <c r="C226" s="482"/>
      <c r="D226" s="440" t="s">
        <v>341</v>
      </c>
      <c r="E226" s="443">
        <f>SUM(E227:E227)</f>
        <v>333000</v>
      </c>
      <c r="F226" s="443">
        <f>SUM(F227:F227)</f>
        <v>0</v>
      </c>
      <c r="G226" s="443">
        <f>SUM(G227:G227)</f>
        <v>333000</v>
      </c>
      <c r="H226" s="509">
        <f t="shared" si="10"/>
        <v>100</v>
      </c>
    </row>
    <row r="227" spans="1:8" ht="33.75">
      <c r="A227" s="749"/>
      <c r="B227" s="467"/>
      <c r="C227" s="482">
        <v>6430</v>
      </c>
      <c r="D227" s="250" t="s">
        <v>622</v>
      </c>
      <c r="E227" s="443">
        <v>333000</v>
      </c>
      <c r="F227" s="443">
        <v>0</v>
      </c>
      <c r="G227" s="443">
        <v>333000</v>
      </c>
      <c r="H227" s="509">
        <f t="shared" si="10"/>
        <v>100</v>
      </c>
    </row>
    <row r="228" spans="1:8" ht="13.5" customHeight="1">
      <c r="A228" s="751" t="s">
        <v>111</v>
      </c>
      <c r="B228" s="751"/>
      <c r="C228" s="751"/>
      <c r="D228" s="751"/>
      <c r="E228" s="341">
        <f>E225+E203+E186+E151+E145+E111+E100+E90+E78+E75+E61+E51+E41+E28+E21+E15+E10+E24</f>
        <v>49444856.480000004</v>
      </c>
      <c r="F228" s="341">
        <f>F225+F203+F186+F151+F145+F111+F100+F90+F78+F75+F61+F51+F41+F28+F21+F15+F10+F24</f>
        <v>46042465.25999999</v>
      </c>
      <c r="G228" s="341">
        <f>G225+G203+G186+G151+G145+G111+G100+G90+G78+G75+G61+G51+G41+G28+G21+G15+G10+G24</f>
        <v>3037445.8600000003</v>
      </c>
      <c r="H228" s="510">
        <f t="shared" si="10"/>
        <v>99.261914411365254</v>
      </c>
    </row>
  </sheetData>
  <mergeCells count="60">
    <mergeCell ref="F7:F8"/>
    <mergeCell ref="B113:B115"/>
    <mergeCell ref="B117:B126"/>
    <mergeCell ref="B65:B69"/>
    <mergeCell ref="B71:B72"/>
    <mergeCell ref="G1:H1"/>
    <mergeCell ref="B128:B135"/>
    <mergeCell ref="B137:B140"/>
    <mergeCell ref="B153:B159"/>
    <mergeCell ref="A2:H2"/>
    <mergeCell ref="A3:H3"/>
    <mergeCell ref="A4:H4"/>
    <mergeCell ref="A6:A8"/>
    <mergeCell ref="B6:B8"/>
    <mergeCell ref="C6:C8"/>
    <mergeCell ref="D6:D8"/>
    <mergeCell ref="E6:E8"/>
    <mergeCell ref="G7:G8"/>
    <mergeCell ref="A62:A74"/>
    <mergeCell ref="H6:H8"/>
    <mergeCell ref="F6:G6"/>
    <mergeCell ref="A52:A60"/>
    <mergeCell ref="A22:A23"/>
    <mergeCell ref="B26:B27"/>
    <mergeCell ref="A11:A14"/>
    <mergeCell ref="B57:B60"/>
    <mergeCell ref="A16:A20"/>
    <mergeCell ref="A42:A50"/>
    <mergeCell ref="B43:B50"/>
    <mergeCell ref="B17:B18"/>
    <mergeCell ref="A29:A40"/>
    <mergeCell ref="B30:B38"/>
    <mergeCell ref="A228:D228"/>
    <mergeCell ref="B210:B213"/>
    <mergeCell ref="B176:B180"/>
    <mergeCell ref="B190:B194"/>
    <mergeCell ref="B198:B202"/>
    <mergeCell ref="A226:A227"/>
    <mergeCell ref="B223:B224"/>
    <mergeCell ref="A204:A224"/>
    <mergeCell ref="B215:B217"/>
    <mergeCell ref="B205:B208"/>
    <mergeCell ref="B219:B221"/>
    <mergeCell ref="D220:D221"/>
    <mergeCell ref="A187:A202"/>
    <mergeCell ref="B147:B148"/>
    <mergeCell ref="B171:B174"/>
    <mergeCell ref="A152:A185"/>
    <mergeCell ref="B184:B185"/>
    <mergeCell ref="A91:A99"/>
    <mergeCell ref="B164:B169"/>
    <mergeCell ref="B161:B162"/>
    <mergeCell ref="A112:A144"/>
    <mergeCell ref="A146:A150"/>
    <mergeCell ref="A76:A77"/>
    <mergeCell ref="A101:A110"/>
    <mergeCell ref="B98:B99"/>
    <mergeCell ref="B82:B87"/>
    <mergeCell ref="B92:B96"/>
    <mergeCell ref="A79:A89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15" orientation="portrait" useFirstPageNumber="1" horizontalDpi="1200" verticalDpi="1200" r:id="rId1"/>
  <headerFooter>
    <oddFooter>&amp;CZałącznik Nr 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F106"/>
  <sheetViews>
    <sheetView view="pageLayout" topLeftCell="A79" workbookViewId="0">
      <selection activeCell="B30" sqref="B29:B30"/>
    </sheetView>
  </sheetViews>
  <sheetFormatPr defaultRowHeight="12.75"/>
  <cols>
    <col min="1" max="1" width="5.28515625" customWidth="1"/>
    <col min="2" max="2" width="44.85546875" customWidth="1"/>
    <col min="3" max="3" width="11.7109375" style="98" customWidth="1"/>
    <col min="4" max="4" width="13.140625" customWidth="1"/>
    <col min="5" max="5" width="7" customWidth="1"/>
    <col min="6" max="6" width="6.42578125" customWidth="1"/>
  </cols>
  <sheetData>
    <row r="1" spans="1:6">
      <c r="A1" s="26"/>
      <c r="B1" s="26"/>
      <c r="C1" s="676"/>
      <c r="D1" s="890" t="s">
        <v>625</v>
      </c>
      <c r="E1" s="890"/>
      <c r="F1" s="890"/>
    </row>
    <row r="2" spans="1:6">
      <c r="A2" s="26"/>
      <c r="B2" s="26"/>
      <c r="C2" s="676"/>
      <c r="D2" s="26"/>
      <c r="E2" s="26"/>
    </row>
    <row r="3" spans="1:6" ht="15.75">
      <c r="A3" s="849" t="s">
        <v>209</v>
      </c>
      <c r="B3" s="849"/>
      <c r="C3" s="849"/>
      <c r="D3" s="849"/>
      <c r="E3" s="849"/>
      <c r="F3" s="849"/>
    </row>
    <row r="4" spans="1:6" ht="15.75">
      <c r="A4" s="849" t="s">
        <v>210</v>
      </c>
      <c r="B4" s="849"/>
      <c r="C4" s="849"/>
      <c r="D4" s="849"/>
      <c r="E4" s="849"/>
      <c r="F4" s="849"/>
    </row>
    <row r="5" spans="1:6" ht="15.75">
      <c r="A5" s="849" t="s">
        <v>518</v>
      </c>
      <c r="B5" s="849"/>
      <c r="C5" s="849"/>
      <c r="D5" s="849"/>
      <c r="E5" s="849"/>
      <c r="F5" s="849"/>
    </row>
    <row r="6" spans="1:6" ht="15.75">
      <c r="A6" s="27"/>
      <c r="B6" s="27"/>
      <c r="C6" s="677"/>
      <c r="D6" s="221" t="s">
        <v>6</v>
      </c>
      <c r="E6" s="221"/>
    </row>
    <row r="7" spans="1:6" ht="48">
      <c r="A7" s="101" t="s">
        <v>211</v>
      </c>
      <c r="B7" s="101" t="s">
        <v>212</v>
      </c>
      <c r="C7" s="678" t="s">
        <v>11</v>
      </c>
      <c r="D7" s="244" t="s">
        <v>12</v>
      </c>
      <c r="E7" s="245" t="s">
        <v>632</v>
      </c>
      <c r="F7" s="245" t="s">
        <v>213</v>
      </c>
    </row>
    <row r="8" spans="1:6">
      <c r="A8" s="66">
        <v>1</v>
      </c>
      <c r="B8" s="66">
        <v>2</v>
      </c>
      <c r="C8" s="684">
        <v>3</v>
      </c>
      <c r="D8" s="213">
        <v>4</v>
      </c>
      <c r="E8" s="66">
        <v>5</v>
      </c>
      <c r="F8" s="66">
        <v>6</v>
      </c>
    </row>
    <row r="9" spans="1:6" s="20" customFormat="1" ht="36">
      <c r="A9" s="670">
        <v>2310</v>
      </c>
      <c r="B9" s="682" t="s">
        <v>555</v>
      </c>
      <c r="C9" s="451">
        <f>678701.8-C10-C11</f>
        <v>121600.00000000006</v>
      </c>
      <c r="D9" s="681">
        <f>678698.68-D10-D11</f>
        <v>121600.00000000009</v>
      </c>
      <c r="E9" s="247">
        <f>D9/C9*100</f>
        <v>100.00000000000003</v>
      </c>
      <c r="F9" s="247">
        <f t="shared" ref="F9:F25" si="0">D9/$D$104*100</f>
        <v>0.23381820483668914</v>
      </c>
    </row>
    <row r="10" spans="1:6" ht="48">
      <c r="A10" s="67">
        <v>2318</v>
      </c>
      <c r="B10" s="243" t="s">
        <v>418</v>
      </c>
      <c r="C10" s="679">
        <v>526152.23</v>
      </c>
      <c r="D10" s="246">
        <v>526149.57999999996</v>
      </c>
      <c r="E10" s="247">
        <f>D10/C10*100</f>
        <v>99.999496343482193</v>
      </c>
      <c r="F10" s="247">
        <f t="shared" si="0"/>
        <v>1.0117051831511337</v>
      </c>
    </row>
    <row r="11" spans="1:6" ht="48">
      <c r="A11" s="67">
        <v>2319</v>
      </c>
      <c r="B11" s="243" t="s">
        <v>419</v>
      </c>
      <c r="C11" s="679">
        <v>30949.57</v>
      </c>
      <c r="D11" s="246">
        <v>30949.1</v>
      </c>
      <c r="E11" s="247">
        <f t="shared" ref="E11:E77" si="1">D11/C11*100</f>
        <v>99.998481400549338</v>
      </c>
      <c r="F11" s="247">
        <f t="shared" si="0"/>
        <v>5.9510386540387927E-2</v>
      </c>
    </row>
    <row r="12" spans="1:6" ht="36">
      <c r="A12" s="67">
        <v>2320</v>
      </c>
      <c r="B12" s="76" t="s">
        <v>561</v>
      </c>
      <c r="C12" s="679">
        <v>202672</v>
      </c>
      <c r="D12" s="246">
        <v>184504.7</v>
      </c>
      <c r="E12" s="247">
        <f t="shared" si="1"/>
        <v>91.036107602431514</v>
      </c>
      <c r="F12" s="247">
        <f t="shared" si="0"/>
        <v>0.35477432350272903</v>
      </c>
    </row>
    <row r="13" spans="1:6" ht="24">
      <c r="A13" s="67">
        <v>2540</v>
      </c>
      <c r="B13" s="76" t="s">
        <v>375</v>
      </c>
      <c r="C13" s="679">
        <v>2479418</v>
      </c>
      <c r="D13" s="246">
        <v>2412420.4</v>
      </c>
      <c r="E13" s="247">
        <f t="shared" si="1"/>
        <v>97.297849737317392</v>
      </c>
      <c r="F13" s="247">
        <f t="shared" si="0"/>
        <v>4.6387155200609138</v>
      </c>
    </row>
    <row r="14" spans="1:6" ht="36">
      <c r="A14" s="671">
        <v>2560</v>
      </c>
      <c r="B14" s="76" t="s">
        <v>556</v>
      </c>
      <c r="C14" s="679">
        <v>13808</v>
      </c>
      <c r="D14" s="246">
        <v>13807.67</v>
      </c>
      <c r="E14" s="247">
        <f t="shared" si="1"/>
        <v>99.997610081112398</v>
      </c>
      <c r="F14" s="247">
        <f t="shared" si="0"/>
        <v>2.6550037930735241E-2</v>
      </c>
    </row>
    <row r="15" spans="1:6" ht="24">
      <c r="A15" s="67">
        <v>2580</v>
      </c>
      <c r="B15" s="76" t="s">
        <v>381</v>
      </c>
      <c r="C15" s="679">
        <v>121100</v>
      </c>
      <c r="D15" s="246">
        <v>91100</v>
      </c>
      <c r="E15" s="247">
        <f t="shared" si="1"/>
        <v>75.227085053674642</v>
      </c>
      <c r="F15" s="247">
        <f t="shared" si="0"/>
        <v>0.17517136891959184</v>
      </c>
    </row>
    <row r="16" spans="1:6" ht="27.75" customHeight="1">
      <c r="A16" s="67">
        <v>2820</v>
      </c>
      <c r="B16" s="76" t="s">
        <v>195</v>
      </c>
      <c r="C16" s="679">
        <v>3911201</v>
      </c>
      <c r="D16" s="246">
        <v>3911200.41</v>
      </c>
      <c r="E16" s="247">
        <f t="shared" si="1"/>
        <v>99.999984915119427</v>
      </c>
      <c r="F16" s="247">
        <f t="shared" si="0"/>
        <v>7.5206402847263316</v>
      </c>
    </row>
    <row r="17" spans="1:6" ht="24">
      <c r="A17" s="67">
        <v>2910</v>
      </c>
      <c r="B17" s="76" t="s">
        <v>376</v>
      </c>
      <c r="C17" s="679">
        <v>14460</v>
      </c>
      <c r="D17" s="246">
        <v>14457.29</v>
      </c>
      <c r="E17" s="247">
        <f t="shared" si="1"/>
        <v>99.981258644536666</v>
      </c>
      <c r="F17" s="247">
        <f t="shared" si="0"/>
        <v>2.7799157850357036E-2</v>
      </c>
    </row>
    <row r="18" spans="1:6">
      <c r="A18" s="67">
        <v>3000</v>
      </c>
      <c r="B18" s="76" t="s">
        <v>420</v>
      </c>
      <c r="C18" s="679">
        <v>35000</v>
      </c>
      <c r="D18" s="246">
        <v>35000</v>
      </c>
      <c r="E18" s="247">
        <f t="shared" si="1"/>
        <v>100</v>
      </c>
      <c r="F18" s="247">
        <f t="shared" si="0"/>
        <v>6.7299647773718052E-2</v>
      </c>
    </row>
    <row r="19" spans="1:6">
      <c r="A19" s="67">
        <v>3020</v>
      </c>
      <c r="B19" s="214" t="s">
        <v>166</v>
      </c>
      <c r="C19" s="680">
        <v>252951.55</v>
      </c>
      <c r="D19" s="246">
        <v>252780.85</v>
      </c>
      <c r="E19" s="247">
        <f t="shared" si="1"/>
        <v>99.932516721087509</v>
      </c>
      <c r="F19" s="247">
        <f t="shared" si="0"/>
        <v>0.48605891911260163</v>
      </c>
    </row>
    <row r="20" spans="1:6">
      <c r="A20" s="67">
        <v>3030</v>
      </c>
      <c r="B20" s="215" t="s">
        <v>163</v>
      </c>
      <c r="C20" s="680">
        <v>444675</v>
      </c>
      <c r="D20" s="246">
        <v>437894.43</v>
      </c>
      <c r="E20" s="247">
        <f t="shared" si="1"/>
        <v>98.475162759318607</v>
      </c>
      <c r="F20" s="247">
        <f t="shared" si="0"/>
        <v>0.84200402574494382</v>
      </c>
    </row>
    <row r="21" spans="1:6" ht="24">
      <c r="A21" s="67">
        <v>3040</v>
      </c>
      <c r="B21" s="215" t="s">
        <v>421</v>
      </c>
      <c r="C21" s="680">
        <v>21100</v>
      </c>
      <c r="D21" s="246">
        <v>21100</v>
      </c>
      <c r="E21" s="247">
        <f t="shared" si="1"/>
        <v>100</v>
      </c>
      <c r="F21" s="247">
        <f t="shared" si="0"/>
        <v>4.0572073372155737E-2</v>
      </c>
    </row>
    <row r="22" spans="1:6" ht="24">
      <c r="A22" s="67">
        <v>3070</v>
      </c>
      <c r="B22" s="215" t="s">
        <v>383</v>
      </c>
      <c r="C22" s="680">
        <v>149381</v>
      </c>
      <c r="D22" s="246">
        <v>149380.95000000001</v>
      </c>
      <c r="E22" s="247">
        <f t="shared" si="1"/>
        <v>99.999966528541123</v>
      </c>
      <c r="F22" s="247">
        <f t="shared" si="0"/>
        <v>0.28723672340295392</v>
      </c>
    </row>
    <row r="23" spans="1:6">
      <c r="A23" s="67">
        <v>3110</v>
      </c>
      <c r="B23" s="214" t="s">
        <v>201</v>
      </c>
      <c r="C23" s="680">
        <f>1760048-C24</f>
        <v>1722531</v>
      </c>
      <c r="D23" s="246">
        <f>1597598.21-D24</f>
        <v>1560081.21</v>
      </c>
      <c r="E23" s="247">
        <f t="shared" si="1"/>
        <v>90.569122413471803</v>
      </c>
      <c r="F23" s="247">
        <f t="shared" si="0"/>
        <v>2.9997975980398817</v>
      </c>
    </row>
    <row r="24" spans="1:6" ht="24">
      <c r="A24" s="67">
        <v>3119</v>
      </c>
      <c r="B24" s="76" t="s">
        <v>422</v>
      </c>
      <c r="C24" s="679">
        <v>37517</v>
      </c>
      <c r="D24" s="246">
        <v>37517</v>
      </c>
      <c r="E24" s="247">
        <f t="shared" si="1"/>
        <v>100</v>
      </c>
      <c r="F24" s="247">
        <f t="shared" si="0"/>
        <v>7.2139453872188009E-2</v>
      </c>
    </row>
    <row r="25" spans="1:6">
      <c r="A25" s="67">
        <v>3240</v>
      </c>
      <c r="B25" s="76" t="s">
        <v>192</v>
      </c>
      <c r="C25" s="679">
        <f>4828+9000</f>
        <v>13828</v>
      </c>
      <c r="D25" s="246">
        <f>4828+8700</f>
        <v>13528</v>
      </c>
      <c r="E25" s="247">
        <f t="shared" si="1"/>
        <v>97.830488863176171</v>
      </c>
      <c r="F25" s="247">
        <f t="shared" si="0"/>
        <v>2.601227528808165E-2</v>
      </c>
    </row>
    <row r="26" spans="1:6" ht="24">
      <c r="A26" s="671">
        <v>3248</v>
      </c>
      <c r="B26" s="76" t="s">
        <v>635</v>
      </c>
      <c r="C26" s="679">
        <f>210955</f>
        <v>210955</v>
      </c>
      <c r="D26" s="246">
        <v>209594</v>
      </c>
      <c r="E26" s="247">
        <f t="shared" si="1"/>
        <v>99.354838709677423</v>
      </c>
      <c r="F26" s="247">
        <f t="shared" ref="F26:F28" si="2">D26/$D$104*100</f>
        <v>0.40301721072813318</v>
      </c>
    </row>
    <row r="27" spans="1:6" ht="24">
      <c r="A27" s="671">
        <v>3249</v>
      </c>
      <c r="B27" s="76" t="s">
        <v>633</v>
      </c>
      <c r="C27" s="679">
        <v>99045</v>
      </c>
      <c r="D27" s="246">
        <v>98406</v>
      </c>
      <c r="E27" s="247">
        <f t="shared" si="1"/>
        <v>99.354838709677423</v>
      </c>
      <c r="F27" s="247">
        <f t="shared" si="2"/>
        <v>0.18921968968058567</v>
      </c>
    </row>
    <row r="28" spans="1:6">
      <c r="A28" s="671">
        <v>3250</v>
      </c>
      <c r="B28" s="76" t="s">
        <v>557</v>
      </c>
      <c r="C28" s="679">
        <v>3612</v>
      </c>
      <c r="D28" s="246">
        <v>3612</v>
      </c>
      <c r="E28" s="247">
        <f t="shared" si="1"/>
        <v>100</v>
      </c>
      <c r="F28" s="247">
        <f t="shared" si="2"/>
        <v>6.9453236502477027E-3</v>
      </c>
    </row>
    <row r="29" spans="1:6">
      <c r="A29" s="67">
        <v>4010</v>
      </c>
      <c r="B29" s="76" t="s">
        <v>167</v>
      </c>
      <c r="C29" s="679">
        <f>14764347.91-C31-C30</f>
        <v>14662939.040000001</v>
      </c>
      <c r="D29" s="246">
        <f>14759447.67-D30-D31</f>
        <v>14658138.92</v>
      </c>
      <c r="E29" s="247">
        <f t="shared" si="1"/>
        <v>99.9672635889237</v>
      </c>
      <c r="F29" s="247">
        <f>D29/$D$104*100</f>
        <v>28.185359609549366</v>
      </c>
    </row>
    <row r="30" spans="1:6" ht="24">
      <c r="A30" s="67">
        <v>4018</v>
      </c>
      <c r="B30" s="76" t="s">
        <v>214</v>
      </c>
      <c r="C30" s="679">
        <v>99542.87</v>
      </c>
      <c r="D30" s="246">
        <v>99443.8</v>
      </c>
      <c r="E30" s="247">
        <f t="shared" si="1"/>
        <v>99.900475041557485</v>
      </c>
      <c r="F30" s="247">
        <f>D30/$D$104*100</f>
        <v>0.19121522037943037</v>
      </c>
    </row>
    <row r="31" spans="1:6" ht="24">
      <c r="A31" s="67">
        <v>4019</v>
      </c>
      <c r="B31" s="76" t="s">
        <v>423</v>
      </c>
      <c r="C31" s="679">
        <v>1866</v>
      </c>
      <c r="D31" s="246">
        <v>1864.95</v>
      </c>
      <c r="E31" s="247">
        <f t="shared" si="1"/>
        <v>99.943729903536976</v>
      </c>
      <c r="F31" s="247">
        <f>D31/$D$104*100</f>
        <v>3.5860136604455848E-3</v>
      </c>
    </row>
    <row r="32" spans="1:6">
      <c r="A32" s="67">
        <v>4020</v>
      </c>
      <c r="B32" s="216" t="s">
        <v>182</v>
      </c>
      <c r="C32" s="679">
        <v>192060</v>
      </c>
      <c r="D32" s="246">
        <v>192042.32</v>
      </c>
      <c r="E32" s="247">
        <f t="shared" si="1"/>
        <v>99.990794543371862</v>
      </c>
      <c r="F32" s="247">
        <f>D32/$D$104*100</f>
        <v>0.36926801410421856</v>
      </c>
    </row>
    <row r="33" spans="1:6">
      <c r="A33" s="67">
        <v>4040</v>
      </c>
      <c r="B33" s="76" t="s">
        <v>168</v>
      </c>
      <c r="C33" s="679">
        <f>1053981.91-C34</f>
        <v>1050013.0599999998</v>
      </c>
      <c r="D33" s="246">
        <f>1053949.82-D34</f>
        <v>1049980.97</v>
      </c>
      <c r="E33" s="247">
        <f t="shared" si="1"/>
        <v>99.996943847536528</v>
      </c>
      <c r="F33" s="247">
        <f>D33/$D$104*100</f>
        <v>2.0189528414316231</v>
      </c>
    </row>
    <row r="34" spans="1:6" ht="24">
      <c r="A34" s="671">
        <v>4048</v>
      </c>
      <c r="B34" s="76" t="s">
        <v>634</v>
      </c>
      <c r="C34" s="679">
        <v>3968.85</v>
      </c>
      <c r="D34" s="246">
        <v>3968.85</v>
      </c>
      <c r="E34" s="247"/>
      <c r="F34" s="247"/>
    </row>
    <row r="35" spans="1:6" ht="24">
      <c r="A35" s="67">
        <v>4050</v>
      </c>
      <c r="B35" s="216" t="s">
        <v>370</v>
      </c>
      <c r="C35" s="679">
        <v>1991777</v>
      </c>
      <c r="D35" s="246">
        <v>1991777</v>
      </c>
      <c r="E35" s="247">
        <f t="shared" si="1"/>
        <v>100</v>
      </c>
      <c r="F35" s="247">
        <f t="shared" ref="F35:F66" si="3">D35/$D$104*100</f>
        <v>3.8298825869655091</v>
      </c>
    </row>
    <row r="36" spans="1:6" ht="24">
      <c r="A36" s="67">
        <v>4060</v>
      </c>
      <c r="B36" s="216" t="s">
        <v>371</v>
      </c>
      <c r="C36" s="679">
        <v>162725</v>
      </c>
      <c r="D36" s="246">
        <v>162724.9</v>
      </c>
      <c r="E36" s="247">
        <f t="shared" si="1"/>
        <v>99.999938546627746</v>
      </c>
      <c r="F36" s="247">
        <f t="shared" si="3"/>
        <v>0.31289509868609977</v>
      </c>
    </row>
    <row r="37" spans="1:6" ht="24">
      <c r="A37" s="67">
        <v>4070</v>
      </c>
      <c r="B37" s="216" t="s">
        <v>372</v>
      </c>
      <c r="C37" s="679">
        <v>150269</v>
      </c>
      <c r="D37" s="246">
        <v>150268.01</v>
      </c>
      <c r="E37" s="247">
        <f t="shared" si="1"/>
        <v>99.999341181481213</v>
      </c>
      <c r="F37" s="247">
        <f t="shared" si="3"/>
        <v>0.28894240413307265</v>
      </c>
    </row>
    <row r="38" spans="1:6" ht="24">
      <c r="A38" s="67">
        <v>4080</v>
      </c>
      <c r="B38" s="216" t="s">
        <v>424</v>
      </c>
      <c r="C38" s="679">
        <v>32325</v>
      </c>
      <c r="D38" s="246">
        <v>32325</v>
      </c>
      <c r="E38" s="247">
        <f t="shared" si="1"/>
        <v>100</v>
      </c>
      <c r="F38" s="247">
        <f t="shared" si="3"/>
        <v>6.2156031836726737E-2</v>
      </c>
    </row>
    <row r="39" spans="1:6">
      <c r="A39" s="67">
        <v>4110</v>
      </c>
      <c r="B39" s="76" t="s">
        <v>169</v>
      </c>
      <c r="C39" s="679">
        <f>2433897.22-C40-C41</f>
        <v>2407245.2400000002</v>
      </c>
      <c r="D39" s="246">
        <f>2423528.65-D40-D41</f>
        <v>2397789.15</v>
      </c>
      <c r="E39" s="247">
        <f t="shared" si="1"/>
        <v>99.607182108292363</v>
      </c>
      <c r="F39" s="247">
        <f t="shared" si="3"/>
        <v>4.6105818637326514</v>
      </c>
    </row>
    <row r="40" spans="1:6" ht="24">
      <c r="A40" s="67">
        <v>4118</v>
      </c>
      <c r="B40" s="76" t="s">
        <v>215</v>
      </c>
      <c r="C40" s="679">
        <v>25743.98</v>
      </c>
      <c r="D40" s="246">
        <v>24882.799999999999</v>
      </c>
      <c r="E40" s="247">
        <f t="shared" si="1"/>
        <v>96.654829595113114</v>
      </c>
      <c r="F40" s="247">
        <f t="shared" si="3"/>
        <v>4.7845819303539185E-2</v>
      </c>
    </row>
    <row r="41" spans="1:6" ht="24">
      <c r="A41" s="67">
        <v>4119</v>
      </c>
      <c r="B41" s="76" t="s">
        <v>428</v>
      </c>
      <c r="C41" s="679">
        <v>908</v>
      </c>
      <c r="D41" s="246">
        <v>856.7</v>
      </c>
      <c r="E41" s="247">
        <f t="shared" si="1"/>
        <v>94.350220264317187</v>
      </c>
      <c r="F41" s="247">
        <f t="shared" si="3"/>
        <v>1.6473030927926929E-3</v>
      </c>
    </row>
    <row r="42" spans="1:6">
      <c r="A42" s="67">
        <v>4120</v>
      </c>
      <c r="B42" s="76" t="s">
        <v>191</v>
      </c>
      <c r="C42" s="679">
        <f>385402.67-C43-C44</f>
        <v>381277.37</v>
      </c>
      <c r="D42" s="246">
        <f>384006.67-D43-D44</f>
        <v>379937.04</v>
      </c>
      <c r="E42" s="247">
        <f t="shared" si="1"/>
        <v>99.648463269666379</v>
      </c>
      <c r="F42" s="247">
        <f t="shared" si="3"/>
        <v>0.73056082766254349</v>
      </c>
    </row>
    <row r="43" spans="1:6" ht="24">
      <c r="A43" s="67">
        <v>4128</v>
      </c>
      <c r="B43" s="76" t="s">
        <v>216</v>
      </c>
      <c r="C43" s="679">
        <v>3988.3</v>
      </c>
      <c r="D43" s="246">
        <v>3936.59</v>
      </c>
      <c r="E43" s="247">
        <f t="shared" si="1"/>
        <v>98.703457613519546</v>
      </c>
      <c r="F43" s="247">
        <f t="shared" si="3"/>
        <v>7.5694605837011647E-3</v>
      </c>
    </row>
    <row r="44" spans="1:6" ht="24">
      <c r="A44" s="67">
        <v>4129</v>
      </c>
      <c r="B44" s="76" t="s">
        <v>427</v>
      </c>
      <c r="C44" s="679">
        <v>137</v>
      </c>
      <c r="D44" s="246">
        <v>133.04</v>
      </c>
      <c r="E44" s="247">
        <f t="shared" si="1"/>
        <v>97.109489051094883</v>
      </c>
      <c r="F44" s="247">
        <f t="shared" si="3"/>
        <v>2.5581557542329853E-4</v>
      </c>
    </row>
    <row r="45" spans="1:6">
      <c r="A45" s="67">
        <v>4130</v>
      </c>
      <c r="B45" s="76" t="s">
        <v>217</v>
      </c>
      <c r="C45" s="679">
        <v>2362000</v>
      </c>
      <c r="D45" s="246">
        <v>2358263</v>
      </c>
      <c r="E45" s="247">
        <f t="shared" si="1"/>
        <v>99.841786621507197</v>
      </c>
      <c r="F45" s="247">
        <f t="shared" si="3"/>
        <v>4.5345791216511904</v>
      </c>
    </row>
    <row r="46" spans="1:6" ht="24">
      <c r="A46" s="67">
        <v>4140</v>
      </c>
      <c r="B46" s="76" t="s">
        <v>218</v>
      </c>
      <c r="C46" s="679">
        <v>32094</v>
      </c>
      <c r="D46" s="246">
        <v>32094</v>
      </c>
      <c r="E46" s="247">
        <f t="shared" si="1"/>
        <v>100</v>
      </c>
      <c r="F46" s="247">
        <f t="shared" si="3"/>
        <v>6.17118541614202E-2</v>
      </c>
    </row>
    <row r="47" spans="1:6">
      <c r="A47" s="67">
        <v>4170</v>
      </c>
      <c r="B47" s="216" t="s">
        <v>170</v>
      </c>
      <c r="C47" s="679">
        <f>739122.48-C48-C49</f>
        <v>591883.48</v>
      </c>
      <c r="D47" s="246">
        <f>704870.79-D48-D49</f>
        <v>557917.46000000008</v>
      </c>
      <c r="E47" s="247">
        <f t="shared" si="1"/>
        <v>94.261367119082308</v>
      </c>
      <c r="F47" s="247">
        <f t="shared" si="3"/>
        <v>1.0727899584230696</v>
      </c>
    </row>
    <row r="48" spans="1:6" ht="24">
      <c r="A48" s="67">
        <v>4178</v>
      </c>
      <c r="B48" s="216" t="s">
        <v>219</v>
      </c>
      <c r="C48" s="679">
        <v>139051</v>
      </c>
      <c r="D48" s="246">
        <v>138782.71</v>
      </c>
      <c r="E48" s="247">
        <f t="shared" si="1"/>
        <v>99.807056403765515</v>
      </c>
      <c r="F48" s="247">
        <f t="shared" si="3"/>
        <v>0.26685792857377305</v>
      </c>
    </row>
    <row r="49" spans="1:6" ht="24">
      <c r="A49" s="67">
        <v>4179</v>
      </c>
      <c r="B49" s="216" t="s">
        <v>426</v>
      </c>
      <c r="C49" s="679">
        <v>8188</v>
      </c>
      <c r="D49" s="246">
        <v>8170.62</v>
      </c>
      <c r="E49" s="247">
        <f t="shared" si="1"/>
        <v>99.78773815339521</v>
      </c>
      <c r="F49" s="247">
        <f t="shared" si="3"/>
        <v>1.5710852802654177E-2</v>
      </c>
    </row>
    <row r="50" spans="1:6" ht="24">
      <c r="A50" s="67">
        <v>4180</v>
      </c>
      <c r="B50" s="216" t="s">
        <v>189</v>
      </c>
      <c r="C50" s="679">
        <v>83484</v>
      </c>
      <c r="D50" s="246">
        <v>83483.320000000007</v>
      </c>
      <c r="E50" s="247">
        <f t="shared" si="1"/>
        <v>99.999185472665431</v>
      </c>
      <c r="F50" s="247">
        <f t="shared" si="3"/>
        <v>0.16052565802801691</v>
      </c>
    </row>
    <row r="51" spans="1:6">
      <c r="A51" s="671">
        <v>4190</v>
      </c>
      <c r="B51" s="216" t="s">
        <v>558</v>
      </c>
      <c r="C51" s="679">
        <v>2000</v>
      </c>
      <c r="D51" s="246">
        <v>2000</v>
      </c>
      <c r="E51" s="247">
        <f t="shared" si="1"/>
        <v>100</v>
      </c>
      <c r="F51" s="247">
        <f t="shared" si="3"/>
        <v>3.8456941584981744E-3</v>
      </c>
    </row>
    <row r="52" spans="1:6">
      <c r="A52" s="67">
        <v>4210</v>
      </c>
      <c r="B52" s="76" t="s">
        <v>171</v>
      </c>
      <c r="C52" s="679">
        <f>1983640.18-C53-C54</f>
        <v>1956876.18</v>
      </c>
      <c r="D52" s="246">
        <f>1971871.73-D53-D54</f>
        <v>1945677.35</v>
      </c>
      <c r="E52" s="247">
        <f t="shared" si="1"/>
        <v>99.427719029213193</v>
      </c>
      <c r="F52" s="247">
        <f t="shared" si="3"/>
        <v>3.741240009608604</v>
      </c>
    </row>
    <row r="53" spans="1:6" ht="24">
      <c r="A53" s="67">
        <v>4218</v>
      </c>
      <c r="B53" s="76" t="s">
        <v>220</v>
      </c>
      <c r="C53" s="679">
        <v>25280</v>
      </c>
      <c r="D53" s="246">
        <v>24737.97</v>
      </c>
      <c r="E53" s="247">
        <f t="shared" si="1"/>
        <v>97.855893987341773</v>
      </c>
      <c r="F53" s="247">
        <f t="shared" si="3"/>
        <v>4.7567333361051546E-2</v>
      </c>
    </row>
    <row r="54" spans="1:6" ht="24">
      <c r="A54" s="67">
        <v>4219</v>
      </c>
      <c r="B54" s="76" t="s">
        <v>425</v>
      </c>
      <c r="C54" s="679">
        <v>1484</v>
      </c>
      <c r="D54" s="246">
        <v>1456.41</v>
      </c>
      <c r="E54" s="247">
        <f t="shared" si="1"/>
        <v>98.140835579514828</v>
      </c>
      <c r="F54" s="247">
        <f t="shared" si="3"/>
        <v>2.8004537146891629E-3</v>
      </c>
    </row>
    <row r="55" spans="1:6">
      <c r="A55" s="67">
        <v>4220</v>
      </c>
      <c r="B55" s="76" t="s">
        <v>197</v>
      </c>
      <c r="C55" s="679">
        <v>312163</v>
      </c>
      <c r="D55" s="246">
        <v>312163.33</v>
      </c>
      <c r="E55" s="247">
        <f t="shared" si="1"/>
        <v>100.00010571400198</v>
      </c>
      <c r="F55" s="247">
        <f t="shared" si="3"/>
        <v>0.60024234733916892</v>
      </c>
    </row>
    <row r="56" spans="1:6" ht="14.25" customHeight="1">
      <c r="A56" s="671">
        <v>4230</v>
      </c>
      <c r="B56" s="76" t="s">
        <v>559</v>
      </c>
      <c r="C56" s="679">
        <v>490</v>
      </c>
      <c r="D56" s="246">
        <v>489.97</v>
      </c>
      <c r="E56" s="247">
        <f t="shared" si="1"/>
        <v>99.993877551020418</v>
      </c>
      <c r="F56" s="247">
        <f t="shared" si="3"/>
        <v>9.4213738341967525E-4</v>
      </c>
    </row>
    <row r="57" spans="1:6">
      <c r="A57" s="67">
        <v>4240</v>
      </c>
      <c r="B57" s="76" t="s">
        <v>357</v>
      </c>
      <c r="C57" s="679">
        <v>46821.21</v>
      </c>
      <c r="D57" s="246">
        <v>46820.74</v>
      </c>
      <c r="E57" s="247">
        <f t="shared" si="1"/>
        <v>99.998996181431437</v>
      </c>
      <c r="F57" s="247">
        <f t="shared" si="3"/>
        <v>9.0029123157280899E-2</v>
      </c>
    </row>
    <row r="58" spans="1:6">
      <c r="A58" s="671">
        <v>4250</v>
      </c>
      <c r="B58" s="76" t="s">
        <v>560</v>
      </c>
      <c r="C58" s="679">
        <v>3577</v>
      </c>
      <c r="D58" s="246">
        <v>3576.93</v>
      </c>
      <c r="E58" s="247">
        <f t="shared" si="1"/>
        <v>99.998043052837573</v>
      </c>
      <c r="F58" s="247">
        <f t="shared" si="3"/>
        <v>6.8778894031784367E-3</v>
      </c>
    </row>
    <row r="59" spans="1:6">
      <c r="A59" s="67">
        <v>4260</v>
      </c>
      <c r="B59" s="76" t="s">
        <v>172</v>
      </c>
      <c r="C59" s="679">
        <v>1026573.88</v>
      </c>
      <c r="D59" s="246">
        <v>1022732.65</v>
      </c>
      <c r="E59" s="247">
        <f t="shared" si="1"/>
        <v>99.625820403690767</v>
      </c>
      <c r="F59" s="247">
        <f t="shared" si="3"/>
        <v>1.966558488905179</v>
      </c>
    </row>
    <row r="60" spans="1:6">
      <c r="A60" s="67">
        <v>4270</v>
      </c>
      <c r="B60" s="76" t="s">
        <v>173</v>
      </c>
      <c r="C60" s="679">
        <v>2686951.14</v>
      </c>
      <c r="D60" s="246">
        <v>2662220.13</v>
      </c>
      <c r="E60" s="247">
        <f t="shared" si="1"/>
        <v>99.07958839921443</v>
      </c>
      <c r="F60" s="247">
        <f t="shared" si="3"/>
        <v>5.1190422012886243</v>
      </c>
    </row>
    <row r="61" spans="1:6">
      <c r="A61" s="67">
        <v>4280</v>
      </c>
      <c r="B61" s="76" t="s">
        <v>174</v>
      </c>
      <c r="C61" s="679">
        <v>28746</v>
      </c>
      <c r="D61" s="246">
        <v>28738.47</v>
      </c>
      <c r="E61" s="247">
        <f t="shared" si="1"/>
        <v>99.97380505113756</v>
      </c>
      <c r="F61" s="247">
        <f t="shared" si="3"/>
        <v>5.525968310158752E-2</v>
      </c>
    </row>
    <row r="62" spans="1:6">
      <c r="A62" s="67">
        <v>4300</v>
      </c>
      <c r="B62" s="76" t="s">
        <v>161</v>
      </c>
      <c r="C62" s="679">
        <f>2142603.93-C63-C64</f>
        <v>2036843.9300000002</v>
      </c>
      <c r="D62" s="246">
        <f>2093902.27-D63-D64</f>
        <v>1988143.4300000002</v>
      </c>
      <c r="E62" s="247">
        <f t="shared" si="1"/>
        <v>97.609021521840418</v>
      </c>
      <c r="F62" s="247">
        <f t="shared" si="3"/>
        <v>3.8228957875037621</v>
      </c>
    </row>
    <row r="63" spans="1:6" ht="24">
      <c r="A63" s="67">
        <v>4308</v>
      </c>
      <c r="B63" s="76" t="s">
        <v>221</v>
      </c>
      <c r="C63" s="679">
        <v>99879</v>
      </c>
      <c r="D63" s="246">
        <v>99878.7</v>
      </c>
      <c r="E63" s="247">
        <f t="shared" si="1"/>
        <v>99.999699636560237</v>
      </c>
      <c r="F63" s="247">
        <f t="shared" si="3"/>
        <v>0.19205146657419581</v>
      </c>
    </row>
    <row r="64" spans="1:6" ht="24">
      <c r="A64" s="67">
        <v>4309</v>
      </c>
      <c r="B64" s="76" t="s">
        <v>222</v>
      </c>
      <c r="C64" s="679">
        <v>5881</v>
      </c>
      <c r="D64" s="246">
        <v>5880.14</v>
      </c>
      <c r="E64" s="247">
        <f t="shared" si="1"/>
        <v>99.985376636626427</v>
      </c>
      <c r="F64" s="247">
        <f t="shared" si="3"/>
        <v>1.1306610024575727E-2</v>
      </c>
    </row>
    <row r="65" spans="1:6">
      <c r="A65" s="67">
        <v>4350</v>
      </c>
      <c r="B65" s="216" t="s">
        <v>175</v>
      </c>
      <c r="C65" s="679">
        <v>19289.98</v>
      </c>
      <c r="D65" s="246">
        <v>19259.740000000002</v>
      </c>
      <c r="E65" s="247">
        <f t="shared" si="1"/>
        <v>99.843234674167633</v>
      </c>
      <c r="F65" s="247">
        <f t="shared" si="3"/>
        <v>3.7033534806096814E-2</v>
      </c>
    </row>
    <row r="66" spans="1:6" ht="24">
      <c r="A66" s="67">
        <v>4360</v>
      </c>
      <c r="B66" s="216" t="s">
        <v>361</v>
      </c>
      <c r="C66" s="679">
        <v>49907</v>
      </c>
      <c r="D66" s="246">
        <v>49697.85</v>
      </c>
      <c r="E66" s="247">
        <f t="shared" si="1"/>
        <v>99.580920512152602</v>
      </c>
      <c r="F66" s="247">
        <f t="shared" si="3"/>
        <v>9.556136571745924E-2</v>
      </c>
    </row>
    <row r="67" spans="1:6" ht="24">
      <c r="A67" s="67">
        <v>4370</v>
      </c>
      <c r="B67" s="216" t="s">
        <v>362</v>
      </c>
      <c r="C67" s="679">
        <v>73264.34</v>
      </c>
      <c r="D67" s="246">
        <v>72043.3</v>
      </c>
      <c r="E67" s="247">
        <f t="shared" si="1"/>
        <v>98.333377465763022</v>
      </c>
      <c r="F67" s="247">
        <f t="shared" ref="F67:F98" si="4">D67/$D$104*100</f>
        <v>0.13852824898446578</v>
      </c>
    </row>
    <row r="68" spans="1:6">
      <c r="A68" s="67">
        <v>4380</v>
      </c>
      <c r="B68" s="216" t="s">
        <v>369</v>
      </c>
      <c r="C68" s="679">
        <v>5182</v>
      </c>
      <c r="D68" s="246">
        <v>5083.74</v>
      </c>
      <c r="E68" s="247">
        <f t="shared" si="1"/>
        <v>98.103820918564253</v>
      </c>
      <c r="F68" s="247">
        <f t="shared" si="4"/>
        <v>9.7752546106617544E-3</v>
      </c>
    </row>
    <row r="69" spans="1:6" ht="24">
      <c r="A69" s="67">
        <v>4400</v>
      </c>
      <c r="B69" s="216" t="s">
        <v>368</v>
      </c>
      <c r="C69" s="679">
        <v>18294</v>
      </c>
      <c r="D69" s="246">
        <v>18227.77</v>
      </c>
      <c r="E69" s="247">
        <f t="shared" si="1"/>
        <v>99.637968732917898</v>
      </c>
      <c r="F69" s="247">
        <f t="shared" si="4"/>
        <v>3.5049214305724136E-2</v>
      </c>
    </row>
    <row r="70" spans="1:6">
      <c r="A70" s="67">
        <v>4410</v>
      </c>
      <c r="B70" s="76" t="s">
        <v>176</v>
      </c>
      <c r="C70" s="679">
        <f>132829.41-C71-C72</f>
        <v>131990.41</v>
      </c>
      <c r="D70" s="246">
        <f>131704.61</f>
        <v>131704.60999999999</v>
      </c>
      <c r="E70" s="247">
        <f t="shared" si="1"/>
        <v>99.783469117188119</v>
      </c>
      <c r="F70" s="247">
        <f t="shared" si="4"/>
        <v>0.25324782466214008</v>
      </c>
    </row>
    <row r="71" spans="1:6" ht="24">
      <c r="A71" s="67">
        <v>4418</v>
      </c>
      <c r="B71" s="76" t="s">
        <v>223</v>
      </c>
      <c r="C71" s="679">
        <v>806.82</v>
      </c>
      <c r="D71" s="246"/>
      <c r="E71" s="247">
        <f t="shared" si="1"/>
        <v>0</v>
      </c>
      <c r="F71" s="247">
        <f t="shared" si="4"/>
        <v>0</v>
      </c>
    </row>
    <row r="72" spans="1:6" ht="24">
      <c r="A72" s="67">
        <v>4419</v>
      </c>
      <c r="B72" s="76" t="s">
        <v>430</v>
      </c>
      <c r="C72" s="679">
        <v>32.18</v>
      </c>
      <c r="D72" s="246"/>
      <c r="E72" s="247">
        <f t="shared" si="1"/>
        <v>0</v>
      </c>
      <c r="F72" s="247">
        <f t="shared" si="4"/>
        <v>0</v>
      </c>
    </row>
    <row r="73" spans="1:6">
      <c r="A73" s="67">
        <v>4420</v>
      </c>
      <c r="B73" s="216" t="s">
        <v>183</v>
      </c>
      <c r="C73" s="679">
        <v>8837.9599999999991</v>
      </c>
      <c r="D73" s="246">
        <v>8837.7000000000007</v>
      </c>
      <c r="E73" s="247">
        <f t="shared" si="1"/>
        <v>99.997058144639723</v>
      </c>
      <c r="F73" s="247">
        <f t="shared" si="4"/>
        <v>1.6993545632279658E-2</v>
      </c>
    </row>
    <row r="74" spans="1:6">
      <c r="A74" s="67">
        <v>4430</v>
      </c>
      <c r="B74" s="76" t="s">
        <v>177</v>
      </c>
      <c r="C74" s="679">
        <v>223394</v>
      </c>
      <c r="D74" s="246">
        <v>222094.52</v>
      </c>
      <c r="E74" s="247">
        <f t="shared" si="1"/>
        <v>99.418301297259546</v>
      </c>
      <c r="F74" s="247">
        <f t="shared" si="4"/>
        <v>0.42705379909922792</v>
      </c>
    </row>
    <row r="75" spans="1:6">
      <c r="A75" s="67">
        <v>4440</v>
      </c>
      <c r="B75" s="76" t="s">
        <v>363</v>
      </c>
      <c r="C75" s="679">
        <f>859690-C76-C77</f>
        <v>854688</v>
      </c>
      <c r="D75" s="246">
        <f>859683.49-D76-D77</f>
        <v>854682.49</v>
      </c>
      <c r="E75" s="247">
        <f t="shared" si="1"/>
        <v>99.999355320304019</v>
      </c>
      <c r="F75" s="247">
        <f t="shared" si="4"/>
        <v>1.643423729581837</v>
      </c>
    </row>
    <row r="76" spans="1:6" ht="24">
      <c r="A76" s="67">
        <v>4448</v>
      </c>
      <c r="B76" s="76" t="s">
        <v>429</v>
      </c>
      <c r="C76" s="679">
        <v>4890</v>
      </c>
      <c r="D76" s="246">
        <v>4889.74</v>
      </c>
      <c r="E76" s="247">
        <f t="shared" si="1"/>
        <v>99.994683026584866</v>
      </c>
      <c r="F76" s="247">
        <f t="shared" si="4"/>
        <v>9.4022222772874309E-3</v>
      </c>
    </row>
    <row r="77" spans="1:6" ht="24">
      <c r="A77" s="67">
        <v>4449</v>
      </c>
      <c r="B77" s="76" t="s">
        <v>431</v>
      </c>
      <c r="C77" s="679">
        <v>112</v>
      </c>
      <c r="D77" s="246">
        <v>111.26</v>
      </c>
      <c r="E77" s="247">
        <f t="shared" si="1"/>
        <v>99.339285714285722</v>
      </c>
      <c r="F77" s="247">
        <f t="shared" si="4"/>
        <v>2.1393596603725345E-4</v>
      </c>
    </row>
    <row r="78" spans="1:6">
      <c r="A78" s="67">
        <v>4480</v>
      </c>
      <c r="B78" s="216" t="s">
        <v>178</v>
      </c>
      <c r="C78" s="679">
        <v>39534</v>
      </c>
      <c r="D78" s="246">
        <v>39532.69</v>
      </c>
      <c r="E78" s="247">
        <f t="shared" ref="E78:E104" si="5">D78/C78*100</f>
        <v>99.996686396519465</v>
      </c>
      <c r="F78" s="247">
        <f t="shared" si="4"/>
        <v>7.6015317501359606E-2</v>
      </c>
    </row>
    <row r="79" spans="1:6" ht="24">
      <c r="A79" s="67">
        <v>4500</v>
      </c>
      <c r="B79" s="216" t="s">
        <v>384</v>
      </c>
      <c r="C79" s="679">
        <v>9330</v>
      </c>
      <c r="D79" s="246">
        <v>9329.2000000000007</v>
      </c>
      <c r="E79" s="247">
        <f t="shared" si="5"/>
        <v>99.991425509110414</v>
      </c>
      <c r="F79" s="247">
        <f t="shared" si="4"/>
        <v>1.7938624971730585E-2</v>
      </c>
    </row>
    <row r="80" spans="1:6">
      <c r="A80" s="67">
        <v>4510</v>
      </c>
      <c r="B80" s="216" t="s">
        <v>180</v>
      </c>
      <c r="C80" s="679">
        <v>605</v>
      </c>
      <c r="D80" s="246">
        <v>604.33000000000004</v>
      </c>
      <c r="E80" s="247">
        <f t="shared" si="5"/>
        <v>99.889256198347113</v>
      </c>
      <c r="F80" s="247">
        <f t="shared" si="4"/>
        <v>1.1620341754026008E-3</v>
      </c>
    </row>
    <row r="81" spans="1:6" ht="15.75" customHeight="1">
      <c r="A81" s="67">
        <v>4520</v>
      </c>
      <c r="B81" s="76" t="s">
        <v>385</v>
      </c>
      <c r="C81" s="679">
        <v>4068</v>
      </c>
      <c r="D81" s="246">
        <v>4064.96</v>
      </c>
      <c r="E81" s="247">
        <f t="shared" si="5"/>
        <v>99.925270403146513</v>
      </c>
      <c r="F81" s="247">
        <f t="shared" si="4"/>
        <v>7.8162964632643682E-3</v>
      </c>
    </row>
    <row r="82" spans="1:6">
      <c r="A82" s="67">
        <v>4530</v>
      </c>
      <c r="B82" s="216" t="s">
        <v>164</v>
      </c>
      <c r="C82" s="679">
        <v>182067</v>
      </c>
      <c r="D82" s="246">
        <v>181963.79</v>
      </c>
      <c r="E82" s="247">
        <f t="shared" si="5"/>
        <v>99.94331207742205</v>
      </c>
      <c r="F82" s="247">
        <f t="shared" si="4"/>
        <v>0.34988854213059428</v>
      </c>
    </row>
    <row r="83" spans="1:6">
      <c r="A83" s="671">
        <v>4550</v>
      </c>
      <c r="B83" s="216" t="s">
        <v>562</v>
      </c>
      <c r="C83" s="679">
        <v>500</v>
      </c>
      <c r="D83" s="246">
        <v>500</v>
      </c>
      <c r="E83" s="247">
        <f t="shared" si="5"/>
        <v>100</v>
      </c>
      <c r="F83" s="247">
        <f t="shared" si="4"/>
        <v>9.614235396245436E-4</v>
      </c>
    </row>
    <row r="84" spans="1:6" ht="24">
      <c r="A84" s="67">
        <v>4570</v>
      </c>
      <c r="B84" s="216" t="s">
        <v>432</v>
      </c>
      <c r="C84" s="679">
        <v>3187</v>
      </c>
      <c r="D84" s="246">
        <v>3187</v>
      </c>
      <c r="E84" s="247">
        <f t="shared" si="5"/>
        <v>100</v>
      </c>
      <c r="F84" s="247">
        <f t="shared" si="4"/>
        <v>6.1281136415668406E-3</v>
      </c>
    </row>
    <row r="85" spans="1:6">
      <c r="A85" s="67">
        <v>4580</v>
      </c>
      <c r="B85" s="216" t="s">
        <v>43</v>
      </c>
      <c r="C85" s="679">
        <v>264</v>
      </c>
      <c r="D85" s="246">
        <v>262.94</v>
      </c>
      <c r="E85" s="247">
        <f t="shared" si="5"/>
        <v>99.598484848484844</v>
      </c>
      <c r="F85" s="247">
        <f t="shared" si="4"/>
        <v>5.0559341101775492E-4</v>
      </c>
    </row>
    <row r="86" spans="1:6">
      <c r="A86" s="67">
        <v>4590</v>
      </c>
      <c r="B86" s="216" t="s">
        <v>364</v>
      </c>
      <c r="C86" s="679">
        <v>1065</v>
      </c>
      <c r="D86" s="246">
        <v>639.4</v>
      </c>
      <c r="E86" s="247">
        <f t="shared" si="5"/>
        <v>60.037558685446001</v>
      </c>
      <c r="F86" s="247">
        <f t="shared" si="4"/>
        <v>1.2294684224718664E-3</v>
      </c>
    </row>
    <row r="87" spans="1:6">
      <c r="A87" s="67">
        <v>4610</v>
      </c>
      <c r="B87" s="216" t="s">
        <v>162</v>
      </c>
      <c r="C87" s="679">
        <v>14361</v>
      </c>
      <c r="D87" s="246">
        <v>14063.82</v>
      </c>
      <c r="E87" s="247">
        <f t="shared" si="5"/>
        <v>97.930645498224351</v>
      </c>
      <c r="F87" s="247">
        <f t="shared" si="4"/>
        <v>2.7042575210084897E-2</v>
      </c>
    </row>
    <row r="88" spans="1:6" ht="24">
      <c r="A88" s="67">
        <v>4700</v>
      </c>
      <c r="B88" s="216" t="s">
        <v>365</v>
      </c>
      <c r="C88" s="679">
        <v>44154</v>
      </c>
      <c r="D88" s="246">
        <v>44151.77</v>
      </c>
      <c r="E88" s="247">
        <f t="shared" si="5"/>
        <v>99.994949494949495</v>
      </c>
      <c r="F88" s="247">
        <f t="shared" si="4"/>
        <v>8.4897101988177459E-2</v>
      </c>
    </row>
    <row r="89" spans="1:6" ht="24">
      <c r="A89" s="67">
        <v>4740</v>
      </c>
      <c r="B89" s="216" t="s">
        <v>366</v>
      </c>
      <c r="C89" s="679">
        <v>29743.46</v>
      </c>
      <c r="D89" s="246">
        <v>29354.66</v>
      </c>
      <c r="E89" s="247">
        <f t="shared" si="5"/>
        <v>98.692821884205813</v>
      </c>
      <c r="F89" s="247">
        <f t="shared" si="4"/>
        <v>5.6444522243350011E-2</v>
      </c>
    </row>
    <row r="90" spans="1:6" ht="24">
      <c r="A90" s="67">
        <v>4750</v>
      </c>
      <c r="B90" s="216" t="s">
        <v>367</v>
      </c>
      <c r="C90" s="679">
        <f>131991.45-C91-C92</f>
        <v>129310.45000000001</v>
      </c>
      <c r="D90" s="246">
        <f>130963.84-D91-D92</f>
        <v>128285.95999999999</v>
      </c>
      <c r="E90" s="247">
        <f t="shared" si="5"/>
        <v>99.207728377714233</v>
      </c>
      <c r="F90" s="247">
        <f t="shared" si="4"/>
        <v>0.24667428349466519</v>
      </c>
    </row>
    <row r="91" spans="1:6" ht="24">
      <c r="A91" s="67">
        <v>4758</v>
      </c>
      <c r="B91" s="216" t="s">
        <v>433</v>
      </c>
      <c r="C91" s="679">
        <v>2531</v>
      </c>
      <c r="D91" s="246">
        <v>2528.9899999999998</v>
      </c>
      <c r="E91" s="247">
        <f t="shared" si="5"/>
        <v>99.920584749111015</v>
      </c>
      <c r="F91" s="247">
        <f t="shared" si="4"/>
        <v>4.8628610349501483E-3</v>
      </c>
    </row>
    <row r="92" spans="1:6" ht="36">
      <c r="A92" s="67">
        <v>4759</v>
      </c>
      <c r="B92" s="216" t="s">
        <v>434</v>
      </c>
      <c r="C92" s="679">
        <v>150</v>
      </c>
      <c r="D92" s="246">
        <v>148.88999999999999</v>
      </c>
      <c r="E92" s="247">
        <f t="shared" si="5"/>
        <v>99.259999999999991</v>
      </c>
      <c r="F92" s="247">
        <f t="shared" si="4"/>
        <v>2.8629270162939657E-4</v>
      </c>
    </row>
    <row r="93" spans="1:6">
      <c r="A93" s="67">
        <v>4810</v>
      </c>
      <c r="B93" s="216" t="s">
        <v>435</v>
      </c>
      <c r="C93" s="679">
        <v>104407</v>
      </c>
      <c r="D93" s="423"/>
      <c r="E93" s="247">
        <f t="shared" si="5"/>
        <v>0</v>
      </c>
      <c r="F93" s="247">
        <f t="shared" si="4"/>
        <v>0</v>
      </c>
    </row>
    <row r="94" spans="1:6">
      <c r="A94" s="67">
        <v>6050</v>
      </c>
      <c r="B94" s="216" t="s">
        <v>165</v>
      </c>
      <c r="C94" s="679">
        <f>6069399-C95</f>
        <v>6044999</v>
      </c>
      <c r="D94" s="246">
        <f>6058689.16-D95</f>
        <v>6034289.1600000001</v>
      </c>
      <c r="E94" s="247">
        <f t="shared" si="5"/>
        <v>99.82283140162636</v>
      </c>
      <c r="F94" s="247">
        <f t="shared" si="4"/>
        <v>11.603015286650427</v>
      </c>
    </row>
    <row r="95" spans="1:6">
      <c r="A95" s="671">
        <v>6059</v>
      </c>
      <c r="B95" s="216" t="s">
        <v>165</v>
      </c>
      <c r="C95" s="679">
        <v>24400</v>
      </c>
      <c r="D95" s="246">
        <v>24400</v>
      </c>
      <c r="E95" s="247">
        <f t="shared" ref="E95" si="6">D95/C95*100</f>
        <v>100</v>
      </c>
      <c r="F95" s="247">
        <f t="shared" si="4"/>
        <v>4.6917468733677727E-2</v>
      </c>
    </row>
    <row r="96" spans="1:6">
      <c r="A96" s="67">
        <v>6060</v>
      </c>
      <c r="B96" s="76" t="s">
        <v>184</v>
      </c>
      <c r="C96" s="679">
        <v>661742</v>
      </c>
      <c r="D96" s="246">
        <v>659348.17000000004</v>
      </c>
      <c r="E96" s="247">
        <f t="shared" si="5"/>
        <v>99.638253276956888</v>
      </c>
      <c r="F96" s="247">
        <f t="shared" si="4"/>
        <v>1.2678257028927307</v>
      </c>
    </row>
    <row r="97" spans="1:6" ht="36.75" customHeight="1">
      <c r="A97" s="78">
        <v>6220</v>
      </c>
      <c r="B97" s="76" t="s">
        <v>224</v>
      </c>
      <c r="C97" s="679">
        <v>205000</v>
      </c>
      <c r="D97" s="246">
        <v>204999.59</v>
      </c>
      <c r="E97" s="247">
        <f t="shared" si="5"/>
        <v>99.999799999999993</v>
      </c>
      <c r="F97" s="247">
        <f t="shared" si="4"/>
        <v>0.39418286287876031</v>
      </c>
    </row>
    <row r="98" spans="1:6" ht="36.75" customHeight="1">
      <c r="A98" s="78">
        <v>6300</v>
      </c>
      <c r="B98" s="76" t="s">
        <v>612</v>
      </c>
      <c r="C98" s="679">
        <v>918071</v>
      </c>
      <c r="D98" s="246">
        <v>245000</v>
      </c>
      <c r="E98" s="247">
        <f t="shared" si="5"/>
        <v>26.686389179050423</v>
      </c>
      <c r="F98" s="247">
        <f t="shared" si="4"/>
        <v>0.47109753441602636</v>
      </c>
    </row>
    <row r="99" spans="1:6" ht="36.75" customHeight="1">
      <c r="A99" s="78">
        <v>6610</v>
      </c>
      <c r="B99" s="76" t="s">
        <v>563</v>
      </c>
      <c r="C99" s="679">
        <v>20770</v>
      </c>
      <c r="D99" s="246">
        <v>20770</v>
      </c>
      <c r="E99" s="247">
        <f t="shared" ref="E99" si="7">D99/C99*100</f>
        <v>100</v>
      </c>
      <c r="F99" s="247">
        <f t="shared" ref="F99:F104" si="8">D99/$D$104*100</f>
        <v>3.9937533836003541E-2</v>
      </c>
    </row>
    <row r="100" spans="1:6" ht="36" customHeight="1">
      <c r="A100" s="78">
        <v>6650</v>
      </c>
      <c r="B100" s="148" t="s">
        <v>185</v>
      </c>
      <c r="C100" s="679">
        <v>2172</v>
      </c>
      <c r="D100" s="246">
        <v>2172</v>
      </c>
      <c r="E100" s="247">
        <f t="shared" si="5"/>
        <v>100</v>
      </c>
      <c r="F100" s="247">
        <f t="shared" si="8"/>
        <v>4.1764238561290169E-3</v>
      </c>
    </row>
    <row r="101" spans="1:6">
      <c r="A101" s="78">
        <v>8010</v>
      </c>
      <c r="B101" s="148" t="s">
        <v>436</v>
      </c>
      <c r="C101" s="679">
        <v>49683</v>
      </c>
      <c r="D101" s="246">
        <v>49682.25</v>
      </c>
      <c r="E101" s="247">
        <f t="shared" si="5"/>
        <v>99.99849042932189</v>
      </c>
      <c r="F101" s="247">
        <f t="shared" si="8"/>
        <v>9.5531369303022959E-2</v>
      </c>
    </row>
    <row r="102" spans="1:6" ht="36">
      <c r="A102" s="67">
        <v>8070</v>
      </c>
      <c r="B102" s="216" t="s">
        <v>374</v>
      </c>
      <c r="C102" s="679">
        <v>252947</v>
      </c>
      <c r="D102" s="246">
        <v>244583.02</v>
      </c>
      <c r="E102" s="247">
        <f t="shared" si="5"/>
        <v>96.693386361569807</v>
      </c>
      <c r="F102" s="247">
        <f t="shared" si="8"/>
        <v>0.47029574564092108</v>
      </c>
    </row>
    <row r="103" spans="1:6">
      <c r="A103" s="67">
        <v>8110</v>
      </c>
      <c r="B103" s="147" t="s">
        <v>506</v>
      </c>
      <c r="C103" s="679">
        <v>77340</v>
      </c>
      <c r="D103" s="246">
        <v>77339.45</v>
      </c>
      <c r="E103" s="247">
        <f t="shared" si="5"/>
        <v>99.999288854409102</v>
      </c>
      <c r="F103" s="247">
        <f t="shared" si="8"/>
        <v>0.14871193554323081</v>
      </c>
    </row>
    <row r="104" spans="1:6">
      <c r="A104" s="891" t="s">
        <v>208</v>
      </c>
      <c r="B104" s="891"/>
      <c r="C104" s="119">
        <f>SUM(C9:C103)</f>
        <v>53242098.480000004</v>
      </c>
      <c r="D104" s="217">
        <f>SUM(D9:D103)</f>
        <v>52006215.720000021</v>
      </c>
      <c r="E104" s="114">
        <f t="shared" si="5"/>
        <v>97.678748968799141</v>
      </c>
      <c r="F104" s="114">
        <f t="shared" si="8"/>
        <v>100</v>
      </c>
    </row>
    <row r="105" spans="1:6">
      <c r="C105" s="685"/>
      <c r="D105" s="686"/>
    </row>
    <row r="106" spans="1:6">
      <c r="D106" s="98"/>
    </row>
  </sheetData>
  <mergeCells count="5">
    <mergeCell ref="D1:F1"/>
    <mergeCell ref="A3:F3"/>
    <mergeCell ref="A4:F4"/>
    <mergeCell ref="A5:F5"/>
    <mergeCell ref="A104:B104"/>
  </mergeCells>
  <pageMargins left="0.7" right="0.7" top="0.75" bottom="0.75" header="0.3" footer="0.3"/>
  <pageSetup paperSize="9" orientation="portrait" r:id="rId1"/>
  <headerFooter>
    <oddFooter>&amp;CZałącznik Nr 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J86"/>
  <sheetViews>
    <sheetView view="pageLayout" topLeftCell="A61" workbookViewId="0">
      <selection activeCell="J80" sqref="J80"/>
    </sheetView>
  </sheetViews>
  <sheetFormatPr defaultColWidth="9" defaultRowHeight="12.75"/>
  <cols>
    <col min="1" max="1" width="3.140625" customWidth="1"/>
    <col min="2" max="2" width="4.5703125" customWidth="1"/>
    <col min="3" max="3" width="5.5703125" customWidth="1"/>
    <col min="4" max="4" width="7.140625" customWidth="1"/>
    <col min="5" max="5" width="48" customWidth="1"/>
    <col min="6" max="6" width="11" customWidth="1"/>
    <col min="7" max="7" width="7.42578125" customWidth="1"/>
    <col min="8" max="8" width="14.28515625" customWidth="1"/>
    <col min="9" max="9" width="13.7109375" customWidth="1"/>
    <col min="10" max="10" width="14" customWidth="1"/>
  </cols>
  <sheetData>
    <row r="1" spans="1:10">
      <c r="I1" s="266"/>
      <c r="J1" t="s">
        <v>616</v>
      </c>
    </row>
    <row r="3" spans="1:10" ht="15.75">
      <c r="A3" s="916" t="s">
        <v>618</v>
      </c>
      <c r="B3" s="916"/>
      <c r="C3" s="916"/>
      <c r="D3" s="916"/>
      <c r="E3" s="916"/>
      <c r="F3" s="916"/>
      <c r="G3" s="916"/>
      <c r="H3" s="916"/>
      <c r="I3" s="916"/>
      <c r="J3" s="916"/>
    </row>
    <row r="4" spans="1:10" ht="15.75">
      <c r="A4" s="916" t="s">
        <v>598</v>
      </c>
      <c r="B4" s="916"/>
      <c r="C4" s="916"/>
      <c r="D4" s="916"/>
      <c r="E4" s="916"/>
      <c r="F4" s="916"/>
      <c r="G4" s="916"/>
      <c r="H4" s="916"/>
      <c r="I4" s="916"/>
      <c r="J4" s="916"/>
    </row>
    <row r="5" spans="1:10" ht="15.75" customHeight="1">
      <c r="A5" s="618"/>
      <c r="B5" s="618"/>
      <c r="C5" s="618"/>
      <c r="D5" s="618"/>
      <c r="E5" s="618"/>
      <c r="F5" s="618"/>
      <c r="G5" s="618"/>
      <c r="H5" s="618"/>
      <c r="I5" s="618"/>
      <c r="J5" s="687"/>
    </row>
    <row r="6" spans="1:10" ht="13.5" customHeight="1">
      <c r="A6" s="902" t="s">
        <v>238</v>
      </c>
      <c r="B6" s="903" t="s">
        <v>7</v>
      </c>
      <c r="C6" s="903" t="s">
        <v>152</v>
      </c>
      <c r="D6" s="903" t="s">
        <v>454</v>
      </c>
      <c r="E6" s="903"/>
      <c r="F6" s="903" t="s">
        <v>455</v>
      </c>
      <c r="G6" s="903" t="s">
        <v>227</v>
      </c>
      <c r="H6" s="903" t="s">
        <v>456</v>
      </c>
      <c r="I6" s="903" t="s">
        <v>11</v>
      </c>
      <c r="J6" s="857" t="s">
        <v>12</v>
      </c>
    </row>
    <row r="7" spans="1:10" ht="20.25" customHeight="1">
      <c r="A7" s="902"/>
      <c r="B7" s="903"/>
      <c r="C7" s="903"/>
      <c r="D7" s="903"/>
      <c r="E7" s="903"/>
      <c r="F7" s="903"/>
      <c r="G7" s="903"/>
      <c r="H7" s="903"/>
      <c r="I7" s="903"/>
      <c r="J7" s="858"/>
    </row>
    <row r="8" spans="1:10" ht="12.75" customHeight="1">
      <c r="A8" s="675">
        <v>1</v>
      </c>
      <c r="B8" s="675">
        <v>2</v>
      </c>
      <c r="C8" s="675">
        <v>3</v>
      </c>
      <c r="D8" s="910">
        <v>4</v>
      </c>
      <c r="E8" s="910"/>
      <c r="F8" s="675">
        <v>5</v>
      </c>
      <c r="G8" s="675">
        <v>6</v>
      </c>
      <c r="H8" s="675">
        <v>7</v>
      </c>
      <c r="I8" s="675">
        <v>8</v>
      </c>
      <c r="J8" s="742">
        <v>9</v>
      </c>
    </row>
    <row r="9" spans="1:10" s="7" customFormat="1" ht="35.25" customHeight="1">
      <c r="A9" s="904">
        <v>1</v>
      </c>
      <c r="B9" s="904">
        <v>600</v>
      </c>
      <c r="C9" s="904">
        <v>60014</v>
      </c>
      <c r="D9" s="688" t="s">
        <v>457</v>
      </c>
      <c r="E9" s="689" t="s">
        <v>465</v>
      </c>
      <c r="F9" s="911" t="s">
        <v>416</v>
      </c>
      <c r="G9" s="911" t="s">
        <v>636</v>
      </c>
      <c r="H9" s="690" t="s">
        <v>458</v>
      </c>
      <c r="I9" s="719">
        <f>I10+I11+I12</f>
        <v>3042501.23</v>
      </c>
      <c r="J9" s="719">
        <f>J10+J11+J12</f>
        <v>3042501.23</v>
      </c>
    </row>
    <row r="10" spans="1:10" s="7" customFormat="1">
      <c r="A10" s="905"/>
      <c r="B10" s="905"/>
      <c r="C10" s="905"/>
      <c r="D10" s="688" t="s">
        <v>459</v>
      </c>
      <c r="E10" s="689" t="s">
        <v>566</v>
      </c>
      <c r="F10" s="912"/>
      <c r="G10" s="912"/>
      <c r="H10" s="692" t="s">
        <v>460</v>
      </c>
      <c r="I10" s="720">
        <f>J10</f>
        <v>240011.22999999998</v>
      </c>
      <c r="J10" s="721">
        <f>15861+16351.42+100000+107799.47-0.47-0.19</f>
        <v>240011.22999999998</v>
      </c>
    </row>
    <row r="11" spans="1:10" s="23" customFormat="1" ht="21.75" customHeight="1">
      <c r="A11" s="905"/>
      <c r="B11" s="905"/>
      <c r="C11" s="905"/>
      <c r="D11" s="907" t="s">
        <v>461</v>
      </c>
      <c r="E11" s="914" t="s">
        <v>464</v>
      </c>
      <c r="F11" s="912"/>
      <c r="G11" s="912"/>
      <c r="H11" s="692" t="s">
        <v>462</v>
      </c>
      <c r="I11" s="720">
        <f>J11</f>
        <v>1305276</v>
      </c>
      <c r="J11" s="721">
        <f>1513075-207799.47+0.47</f>
        <v>1305276</v>
      </c>
    </row>
    <row r="12" spans="1:10" s="23" customFormat="1" ht="13.5" customHeight="1">
      <c r="A12" s="906"/>
      <c r="B12" s="906"/>
      <c r="C12" s="906"/>
      <c r="D12" s="907"/>
      <c r="E12" s="915"/>
      <c r="F12" s="913"/>
      <c r="G12" s="913"/>
      <c r="H12" s="692" t="s">
        <v>463</v>
      </c>
      <c r="I12" s="720">
        <f>J12</f>
        <v>1497214</v>
      </c>
      <c r="J12" s="721">
        <f>1513075-15861</f>
        <v>1497214</v>
      </c>
    </row>
    <row r="13" spans="1:10" s="23" customFormat="1" ht="21" customHeight="1">
      <c r="A13" s="892">
        <v>2</v>
      </c>
      <c r="B13" s="892">
        <v>600</v>
      </c>
      <c r="C13" s="892">
        <v>60014</v>
      </c>
      <c r="D13" s="695" t="s">
        <v>457</v>
      </c>
      <c r="E13" s="696" t="s">
        <v>466</v>
      </c>
      <c r="F13" s="911" t="s">
        <v>193</v>
      </c>
      <c r="G13" s="897" t="s">
        <v>467</v>
      </c>
      <c r="H13" s="697" t="s">
        <v>458</v>
      </c>
      <c r="I13" s="722">
        <f>I14+I15+I16</f>
        <v>24400</v>
      </c>
      <c r="J13" s="719">
        <f>J14+J15+J16</f>
        <v>24400</v>
      </c>
    </row>
    <row r="14" spans="1:10" s="23" customFormat="1" ht="23.25" customHeight="1">
      <c r="A14" s="893"/>
      <c r="B14" s="893"/>
      <c r="C14" s="893"/>
      <c r="D14" s="695" t="s">
        <v>459</v>
      </c>
      <c r="E14" s="699" t="s">
        <v>567</v>
      </c>
      <c r="F14" s="912"/>
      <c r="G14" s="930"/>
      <c r="H14" s="284" t="s">
        <v>460</v>
      </c>
      <c r="I14" s="723">
        <f>J14</f>
        <v>24400</v>
      </c>
      <c r="J14" s="721">
        <v>24400</v>
      </c>
    </row>
    <row r="15" spans="1:10" s="23" customFormat="1" ht="21" customHeight="1">
      <c r="A15" s="893"/>
      <c r="B15" s="893"/>
      <c r="C15" s="893"/>
      <c r="D15" s="898" t="s">
        <v>461</v>
      </c>
      <c r="E15" s="923" t="s">
        <v>568</v>
      </c>
      <c r="F15" s="912"/>
      <c r="G15" s="930"/>
      <c r="H15" s="284" t="s">
        <v>462</v>
      </c>
      <c r="I15" s="723">
        <v>0</v>
      </c>
      <c r="J15" s="721">
        <v>0</v>
      </c>
    </row>
    <row r="16" spans="1:10" s="23" customFormat="1">
      <c r="A16" s="894"/>
      <c r="B16" s="894"/>
      <c r="C16" s="894"/>
      <c r="D16" s="898"/>
      <c r="E16" s="924"/>
      <c r="F16" s="913"/>
      <c r="G16" s="925"/>
      <c r="H16" s="284" t="s">
        <v>468</v>
      </c>
      <c r="I16" s="723">
        <v>0</v>
      </c>
      <c r="J16" s="721">
        <v>0</v>
      </c>
    </row>
    <row r="17" spans="1:10" s="23" customFormat="1" ht="14.25" customHeight="1">
      <c r="A17" s="892">
        <v>3</v>
      </c>
      <c r="B17" s="892">
        <v>600</v>
      </c>
      <c r="C17" s="892">
        <v>60014</v>
      </c>
      <c r="D17" s="897" t="s">
        <v>564</v>
      </c>
      <c r="E17" s="926" t="s">
        <v>565</v>
      </c>
      <c r="F17" s="911" t="s">
        <v>193</v>
      </c>
      <c r="G17" s="897" t="s">
        <v>467</v>
      </c>
      <c r="H17" s="697" t="s">
        <v>458</v>
      </c>
      <c r="I17" s="722">
        <f>I18+I19+I20</f>
        <v>24400</v>
      </c>
      <c r="J17" s="719">
        <f>J18+J19+J20</f>
        <v>24400</v>
      </c>
    </row>
    <row r="18" spans="1:10" s="23" customFormat="1">
      <c r="A18" s="893"/>
      <c r="B18" s="893"/>
      <c r="C18" s="893"/>
      <c r="D18" s="925"/>
      <c r="E18" s="927"/>
      <c r="F18" s="912"/>
      <c r="G18" s="930"/>
      <c r="H18" s="284" t="s">
        <v>460</v>
      </c>
      <c r="I18" s="723">
        <f>J18</f>
        <v>24400</v>
      </c>
      <c r="J18" s="721">
        <v>24400</v>
      </c>
    </row>
    <row r="19" spans="1:10" s="23" customFormat="1">
      <c r="A19" s="893"/>
      <c r="B19" s="893"/>
      <c r="C19" s="893"/>
      <c r="D19" s="898" t="s">
        <v>461</v>
      </c>
      <c r="E19" s="923" t="s">
        <v>569</v>
      </c>
      <c r="F19" s="912"/>
      <c r="G19" s="930"/>
      <c r="H19" s="917" t="s">
        <v>462</v>
      </c>
      <c r="I19" s="919">
        <f>J19</f>
        <v>0</v>
      </c>
      <c r="J19" s="921">
        <v>0</v>
      </c>
    </row>
    <row r="20" spans="1:10" s="3" customFormat="1">
      <c r="A20" s="894"/>
      <c r="B20" s="894"/>
      <c r="C20" s="894"/>
      <c r="D20" s="898"/>
      <c r="E20" s="924"/>
      <c r="F20" s="913"/>
      <c r="G20" s="925"/>
      <c r="H20" s="918"/>
      <c r="I20" s="920"/>
      <c r="J20" s="922"/>
    </row>
    <row r="21" spans="1:10" ht="24" customHeight="1">
      <c r="A21" s="904">
        <v>4</v>
      </c>
      <c r="B21" s="907">
        <v>801</v>
      </c>
      <c r="C21" s="907">
        <v>80111</v>
      </c>
      <c r="D21" s="688" t="s">
        <v>457</v>
      </c>
      <c r="E21" s="701" t="s">
        <v>466</v>
      </c>
      <c r="F21" s="908" t="s">
        <v>193</v>
      </c>
      <c r="G21" s="908" t="s">
        <v>469</v>
      </c>
      <c r="H21" s="690" t="s">
        <v>458</v>
      </c>
      <c r="I21" s="719">
        <f>I22+I23+I24</f>
        <v>0</v>
      </c>
      <c r="J21" s="724">
        <f>J22</f>
        <v>0</v>
      </c>
    </row>
    <row r="22" spans="1:10" s="28" customFormat="1" ht="25.5">
      <c r="A22" s="905"/>
      <c r="B22" s="907"/>
      <c r="C22" s="907"/>
      <c r="D22" s="688" t="s">
        <v>459</v>
      </c>
      <c r="E22" s="702" t="s">
        <v>470</v>
      </c>
      <c r="F22" s="908"/>
      <c r="G22" s="908"/>
      <c r="H22" s="692" t="s">
        <v>460</v>
      </c>
      <c r="I22" s="720">
        <f>J22</f>
        <v>0</v>
      </c>
      <c r="J22" s="720">
        <v>0</v>
      </c>
    </row>
    <row r="23" spans="1:10" ht="12.75" customHeight="1">
      <c r="A23" s="905"/>
      <c r="B23" s="907"/>
      <c r="C23" s="907"/>
      <c r="D23" s="907" t="s">
        <v>461</v>
      </c>
      <c r="E23" s="909" t="s">
        <v>619</v>
      </c>
      <c r="F23" s="908"/>
      <c r="G23" s="908"/>
      <c r="H23" s="692" t="s">
        <v>462</v>
      </c>
      <c r="I23" s="720">
        <v>0</v>
      </c>
      <c r="J23" s="721"/>
    </row>
    <row r="24" spans="1:10" ht="22.5" customHeight="1">
      <c r="A24" s="906"/>
      <c r="B24" s="907"/>
      <c r="C24" s="907"/>
      <c r="D24" s="907"/>
      <c r="E24" s="909"/>
      <c r="F24" s="908"/>
      <c r="G24" s="908"/>
      <c r="H24" s="692" t="s">
        <v>468</v>
      </c>
      <c r="I24" s="720">
        <v>0</v>
      </c>
      <c r="J24" s="721"/>
    </row>
    <row r="25" spans="1:10" ht="18.75" customHeight="1">
      <c r="A25" s="904">
        <v>5</v>
      </c>
      <c r="B25" s="907">
        <v>853</v>
      </c>
      <c r="C25" s="907">
        <v>85333</v>
      </c>
      <c r="D25" s="688" t="s">
        <v>457</v>
      </c>
      <c r="E25" s="701" t="s">
        <v>570</v>
      </c>
      <c r="F25" s="908" t="s">
        <v>193</v>
      </c>
      <c r="G25" s="908" t="s">
        <v>571</v>
      </c>
      <c r="H25" s="690" t="s">
        <v>458</v>
      </c>
      <c r="I25" s="719">
        <f>I26+I27+I28</f>
        <v>3782</v>
      </c>
      <c r="J25" s="724">
        <f>J26</f>
        <v>3782</v>
      </c>
    </row>
    <row r="26" spans="1:10" ht="19.5" customHeight="1">
      <c r="A26" s="905"/>
      <c r="B26" s="907"/>
      <c r="C26" s="907"/>
      <c r="D26" s="688" t="s">
        <v>459</v>
      </c>
      <c r="E26" s="702" t="s">
        <v>471</v>
      </c>
      <c r="F26" s="908"/>
      <c r="G26" s="908"/>
      <c r="H26" s="692" t="s">
        <v>460</v>
      </c>
      <c r="I26" s="720">
        <v>3782</v>
      </c>
      <c r="J26" s="720">
        <v>3782</v>
      </c>
    </row>
    <row r="27" spans="1:10" ht="22.5">
      <c r="A27" s="905"/>
      <c r="B27" s="907"/>
      <c r="C27" s="907"/>
      <c r="D27" s="907" t="s">
        <v>461</v>
      </c>
      <c r="E27" s="909" t="s">
        <v>472</v>
      </c>
      <c r="F27" s="908"/>
      <c r="G27" s="908"/>
      <c r="H27" s="692" t="s">
        <v>462</v>
      </c>
      <c r="I27" s="720">
        <v>0</v>
      </c>
      <c r="J27" s="721"/>
    </row>
    <row r="28" spans="1:10">
      <c r="A28" s="906"/>
      <c r="B28" s="907"/>
      <c r="C28" s="907"/>
      <c r="D28" s="907"/>
      <c r="E28" s="909"/>
      <c r="F28" s="908"/>
      <c r="G28" s="908"/>
      <c r="H28" s="692" t="s">
        <v>468</v>
      </c>
      <c r="I28" s="720">
        <v>0</v>
      </c>
      <c r="J28" s="721"/>
    </row>
    <row r="29" spans="1:10" ht="12.75" customHeight="1">
      <c r="A29" s="892" t="s">
        <v>238</v>
      </c>
      <c r="B29" s="903" t="s">
        <v>7</v>
      </c>
      <c r="C29" s="903" t="s">
        <v>152</v>
      </c>
      <c r="D29" s="903" t="s">
        <v>454</v>
      </c>
      <c r="E29" s="903"/>
      <c r="F29" s="903" t="s">
        <v>455</v>
      </c>
      <c r="G29" s="903" t="s">
        <v>227</v>
      </c>
      <c r="H29" s="903" t="s">
        <v>456</v>
      </c>
      <c r="I29" s="903" t="s">
        <v>11</v>
      </c>
      <c r="J29" s="857" t="s">
        <v>12</v>
      </c>
    </row>
    <row r="30" spans="1:10" ht="35.25" customHeight="1">
      <c r="A30" s="894"/>
      <c r="B30" s="903"/>
      <c r="C30" s="903"/>
      <c r="D30" s="903"/>
      <c r="E30" s="903"/>
      <c r="F30" s="903"/>
      <c r="G30" s="903"/>
      <c r="H30" s="903"/>
      <c r="I30" s="903"/>
      <c r="J30" s="858"/>
    </row>
    <row r="31" spans="1:10">
      <c r="A31" s="675">
        <v>1</v>
      </c>
      <c r="B31" s="675">
        <v>2</v>
      </c>
      <c r="C31" s="675">
        <v>3</v>
      </c>
      <c r="D31" s="910">
        <v>4</v>
      </c>
      <c r="E31" s="910"/>
      <c r="F31" s="675">
        <v>5</v>
      </c>
      <c r="G31" s="675">
        <v>6</v>
      </c>
      <c r="H31" s="675">
        <v>7</v>
      </c>
      <c r="I31" s="706">
        <v>8</v>
      </c>
      <c r="J31" s="707">
        <v>9</v>
      </c>
    </row>
    <row r="32" spans="1:10" ht="14.25" customHeight="1">
      <c r="A32" s="892">
        <v>6</v>
      </c>
      <c r="B32" s="895">
        <v>801</v>
      </c>
      <c r="C32" s="895">
        <v>80130</v>
      </c>
      <c r="D32" s="695" t="s">
        <v>457</v>
      </c>
      <c r="E32" s="701" t="s">
        <v>570</v>
      </c>
      <c r="F32" s="896" t="s">
        <v>193</v>
      </c>
      <c r="G32" s="896" t="s">
        <v>571</v>
      </c>
      <c r="H32" s="697" t="s">
        <v>458</v>
      </c>
      <c r="I32" s="722">
        <f>I33+I34+I35</f>
        <v>732</v>
      </c>
      <c r="J32" s="724">
        <f>J33</f>
        <v>732</v>
      </c>
    </row>
    <row r="33" spans="1:10">
      <c r="A33" s="893"/>
      <c r="B33" s="895"/>
      <c r="C33" s="895"/>
      <c r="D33" s="703" t="s">
        <v>459</v>
      </c>
      <c r="E33" s="704" t="s">
        <v>471</v>
      </c>
      <c r="F33" s="896"/>
      <c r="G33" s="896"/>
      <c r="H33" s="284" t="s">
        <v>460</v>
      </c>
      <c r="I33" s="723">
        <v>732</v>
      </c>
      <c r="J33" s="720">
        <v>732</v>
      </c>
    </row>
    <row r="34" spans="1:10" ht="22.5">
      <c r="A34" s="893"/>
      <c r="B34" s="895"/>
      <c r="C34" s="895"/>
      <c r="D34" s="898" t="s">
        <v>461</v>
      </c>
      <c r="E34" s="900" t="s">
        <v>473</v>
      </c>
      <c r="F34" s="896"/>
      <c r="G34" s="896"/>
      <c r="H34" s="284" t="s">
        <v>462</v>
      </c>
      <c r="I34" s="723">
        <v>0</v>
      </c>
      <c r="J34" s="721"/>
    </row>
    <row r="35" spans="1:10">
      <c r="A35" s="894"/>
      <c r="B35" s="895"/>
      <c r="C35" s="895"/>
      <c r="D35" s="898"/>
      <c r="E35" s="900"/>
      <c r="F35" s="896"/>
      <c r="G35" s="896"/>
      <c r="H35" s="284" t="s">
        <v>468</v>
      </c>
      <c r="I35" s="723">
        <v>0</v>
      </c>
      <c r="J35" s="721"/>
    </row>
    <row r="36" spans="1:10">
      <c r="A36" s="892">
        <v>7</v>
      </c>
      <c r="B36" s="895">
        <v>854</v>
      </c>
      <c r="C36" s="895">
        <v>85410</v>
      </c>
      <c r="D36" s="899" t="s">
        <v>459</v>
      </c>
      <c r="E36" s="901" t="s">
        <v>474</v>
      </c>
      <c r="F36" s="896" t="s">
        <v>193</v>
      </c>
      <c r="G36" s="896" t="s">
        <v>469</v>
      </c>
      <c r="H36" s="697" t="s">
        <v>458</v>
      </c>
      <c r="I36" s="698">
        <f>I37+I38+I39</f>
        <v>0</v>
      </c>
      <c r="J36" s="720"/>
    </row>
    <row r="37" spans="1:10" ht="14.25" customHeight="1">
      <c r="A37" s="893"/>
      <c r="B37" s="895"/>
      <c r="C37" s="895"/>
      <c r="D37" s="928"/>
      <c r="E37" s="929"/>
      <c r="F37" s="896"/>
      <c r="G37" s="896"/>
      <c r="H37" s="284" t="s">
        <v>460</v>
      </c>
      <c r="I37" s="700">
        <v>0</v>
      </c>
      <c r="J37" s="720"/>
    </row>
    <row r="38" spans="1:10" ht="22.5">
      <c r="A38" s="893"/>
      <c r="B38" s="895"/>
      <c r="C38" s="895"/>
      <c r="D38" s="898" t="s">
        <v>461</v>
      </c>
      <c r="E38" s="900" t="s">
        <v>475</v>
      </c>
      <c r="F38" s="896"/>
      <c r="G38" s="896"/>
      <c r="H38" s="284" t="s">
        <v>462</v>
      </c>
      <c r="I38" s="700">
        <v>0</v>
      </c>
      <c r="J38" s="721"/>
    </row>
    <row r="39" spans="1:10">
      <c r="A39" s="894"/>
      <c r="B39" s="895"/>
      <c r="C39" s="895"/>
      <c r="D39" s="898"/>
      <c r="E39" s="900"/>
      <c r="F39" s="896"/>
      <c r="G39" s="896"/>
      <c r="H39" s="284" t="s">
        <v>468</v>
      </c>
      <c r="I39" s="700">
        <v>0</v>
      </c>
      <c r="J39" s="721"/>
    </row>
    <row r="40" spans="1:10">
      <c r="A40" s="892">
        <v>8</v>
      </c>
      <c r="B40" s="895">
        <v>801</v>
      </c>
      <c r="C40" s="895">
        <v>80130</v>
      </c>
      <c r="D40" s="695" t="s">
        <v>457</v>
      </c>
      <c r="E40" s="701" t="s">
        <v>570</v>
      </c>
      <c r="F40" s="896" t="s">
        <v>193</v>
      </c>
      <c r="G40" s="896" t="s">
        <v>571</v>
      </c>
      <c r="H40" s="697" t="s">
        <v>458</v>
      </c>
      <c r="I40" s="698">
        <f>I41+I42+I43</f>
        <v>4758</v>
      </c>
      <c r="J40" s="724">
        <f>J41</f>
        <v>4758</v>
      </c>
    </row>
    <row r="41" spans="1:10" ht="13.5" customHeight="1">
      <c r="A41" s="893"/>
      <c r="B41" s="895"/>
      <c r="C41" s="895"/>
      <c r="D41" s="695" t="s">
        <v>459</v>
      </c>
      <c r="E41" s="708" t="s">
        <v>474</v>
      </c>
      <c r="F41" s="896"/>
      <c r="G41" s="896"/>
      <c r="H41" s="284" t="s">
        <v>460</v>
      </c>
      <c r="I41" s="700">
        <v>4758</v>
      </c>
      <c r="J41" s="720">
        <f>1830+2196+732</f>
        <v>4758</v>
      </c>
    </row>
    <row r="42" spans="1:10" ht="22.5">
      <c r="A42" s="893"/>
      <c r="B42" s="895"/>
      <c r="C42" s="895"/>
      <c r="D42" s="898" t="s">
        <v>461</v>
      </c>
      <c r="E42" s="900" t="s">
        <v>476</v>
      </c>
      <c r="F42" s="896"/>
      <c r="G42" s="896"/>
      <c r="H42" s="284" t="s">
        <v>462</v>
      </c>
      <c r="I42" s="700">
        <v>0</v>
      </c>
      <c r="J42" s="721"/>
    </row>
    <row r="43" spans="1:10">
      <c r="A43" s="894"/>
      <c r="B43" s="895"/>
      <c r="C43" s="895"/>
      <c r="D43" s="898"/>
      <c r="E43" s="900"/>
      <c r="F43" s="896"/>
      <c r="G43" s="896"/>
      <c r="H43" s="284" t="s">
        <v>468</v>
      </c>
      <c r="I43" s="700">
        <v>0</v>
      </c>
      <c r="J43" s="721"/>
    </row>
    <row r="44" spans="1:10">
      <c r="A44" s="892">
        <v>9</v>
      </c>
      <c r="B44" s="895">
        <v>801</v>
      </c>
      <c r="C44" s="895">
        <v>80111</v>
      </c>
      <c r="D44" s="695" t="s">
        <v>457</v>
      </c>
      <c r="E44" s="701" t="s">
        <v>570</v>
      </c>
      <c r="F44" s="896" t="s">
        <v>193</v>
      </c>
      <c r="G44" s="896" t="s">
        <v>571</v>
      </c>
      <c r="H44" s="697" t="s">
        <v>458</v>
      </c>
      <c r="I44" s="698">
        <f>I45+I46+I47</f>
        <v>4392</v>
      </c>
      <c r="J44" s="724">
        <f>J45</f>
        <v>4392</v>
      </c>
    </row>
    <row r="45" spans="1:10" ht="16.5" customHeight="1">
      <c r="A45" s="893"/>
      <c r="B45" s="895"/>
      <c r="C45" s="895"/>
      <c r="D45" s="695" t="s">
        <v>459</v>
      </c>
      <c r="E45" s="708" t="s">
        <v>474</v>
      </c>
      <c r="F45" s="896"/>
      <c r="G45" s="896"/>
      <c r="H45" s="284" t="s">
        <v>460</v>
      </c>
      <c r="I45" s="700">
        <v>4392</v>
      </c>
      <c r="J45" s="720">
        <v>4392</v>
      </c>
    </row>
    <row r="46" spans="1:10" ht="22.5">
      <c r="A46" s="893"/>
      <c r="B46" s="895"/>
      <c r="C46" s="895"/>
      <c r="D46" s="898" t="s">
        <v>461</v>
      </c>
      <c r="E46" s="900" t="s">
        <v>477</v>
      </c>
      <c r="F46" s="896"/>
      <c r="G46" s="896"/>
      <c r="H46" s="284" t="s">
        <v>462</v>
      </c>
      <c r="I46" s="700">
        <v>0</v>
      </c>
      <c r="J46" s="721"/>
    </row>
    <row r="47" spans="1:10">
      <c r="A47" s="894"/>
      <c r="B47" s="892"/>
      <c r="C47" s="892"/>
      <c r="D47" s="899"/>
      <c r="E47" s="901"/>
      <c r="F47" s="897"/>
      <c r="G47" s="897"/>
      <c r="H47" s="284" t="s">
        <v>468</v>
      </c>
      <c r="I47" s="700">
        <v>0</v>
      </c>
      <c r="J47" s="721"/>
    </row>
    <row r="48" spans="1:10" ht="13.5" customHeight="1">
      <c r="A48" s="892">
        <v>10</v>
      </c>
      <c r="B48" s="895">
        <v>801</v>
      </c>
      <c r="C48" s="895">
        <v>80120</v>
      </c>
      <c r="D48" s="695" t="s">
        <v>457</v>
      </c>
      <c r="E48" s="701" t="s">
        <v>570</v>
      </c>
      <c r="F48" s="896" t="s">
        <v>193</v>
      </c>
      <c r="G48" s="896" t="s">
        <v>571</v>
      </c>
      <c r="H48" s="697" t="s">
        <v>458</v>
      </c>
      <c r="I48" s="698">
        <f>I49+I50+I51</f>
        <v>13486</v>
      </c>
      <c r="J48" s="724">
        <f>J49</f>
        <v>13486</v>
      </c>
    </row>
    <row r="49" spans="1:10">
      <c r="A49" s="893"/>
      <c r="B49" s="895"/>
      <c r="C49" s="895"/>
      <c r="D49" s="695" t="s">
        <v>459</v>
      </c>
      <c r="E49" s="708" t="s">
        <v>474</v>
      </c>
      <c r="F49" s="896"/>
      <c r="G49" s="896"/>
      <c r="H49" s="284" t="s">
        <v>460</v>
      </c>
      <c r="I49" s="700">
        <v>13486</v>
      </c>
      <c r="J49" s="720">
        <v>13486</v>
      </c>
    </row>
    <row r="50" spans="1:10" ht="22.5">
      <c r="A50" s="893"/>
      <c r="B50" s="895"/>
      <c r="C50" s="895"/>
      <c r="D50" s="898" t="s">
        <v>461</v>
      </c>
      <c r="E50" s="900" t="s">
        <v>572</v>
      </c>
      <c r="F50" s="896"/>
      <c r="G50" s="896"/>
      <c r="H50" s="284" t="s">
        <v>462</v>
      </c>
      <c r="I50" s="700">
        <v>0</v>
      </c>
      <c r="J50" s="721"/>
    </row>
    <row r="51" spans="1:10">
      <c r="A51" s="894"/>
      <c r="B51" s="892"/>
      <c r="C51" s="892"/>
      <c r="D51" s="899"/>
      <c r="E51" s="901"/>
      <c r="F51" s="897"/>
      <c r="G51" s="897"/>
      <c r="H51" s="284" t="s">
        <v>468</v>
      </c>
      <c r="I51" s="700">
        <v>0</v>
      </c>
      <c r="J51" s="721"/>
    </row>
    <row r="52" spans="1:10">
      <c r="A52" s="892">
        <v>11</v>
      </c>
      <c r="B52" s="895">
        <v>851</v>
      </c>
      <c r="C52" s="895">
        <v>85111</v>
      </c>
      <c r="D52" s="897" t="s">
        <v>573</v>
      </c>
      <c r="E52" s="897" t="s">
        <v>574</v>
      </c>
      <c r="F52" s="896" t="s">
        <v>193</v>
      </c>
      <c r="G52" s="896" t="s">
        <v>575</v>
      </c>
      <c r="H52" s="697" t="s">
        <v>458</v>
      </c>
      <c r="I52" s="698">
        <f>I53+I54+I55</f>
        <v>1384150</v>
      </c>
      <c r="J52" s="724">
        <f>J54+J53</f>
        <v>1374768.12</v>
      </c>
    </row>
    <row r="53" spans="1:10">
      <c r="A53" s="893"/>
      <c r="B53" s="895"/>
      <c r="C53" s="895"/>
      <c r="D53" s="930"/>
      <c r="E53" s="930"/>
      <c r="F53" s="896"/>
      <c r="G53" s="896"/>
      <c r="H53" s="284" t="s">
        <v>460</v>
      </c>
      <c r="I53" s="700">
        <v>94991</v>
      </c>
      <c r="J53" s="740">
        <f>1374768.12-J54</f>
        <v>85609.880000000121</v>
      </c>
    </row>
    <row r="54" spans="1:10" ht="22.5">
      <c r="A54" s="893"/>
      <c r="B54" s="895"/>
      <c r="C54" s="895"/>
      <c r="D54" s="930"/>
      <c r="E54" s="930"/>
      <c r="F54" s="896"/>
      <c r="G54" s="896"/>
      <c r="H54" s="284" t="s">
        <v>462</v>
      </c>
      <c r="I54" s="700">
        <v>1289159</v>
      </c>
      <c r="J54" s="741">
        <v>1289158.24</v>
      </c>
    </row>
    <row r="55" spans="1:10">
      <c r="A55" s="894"/>
      <c r="B55" s="892"/>
      <c r="C55" s="892"/>
      <c r="D55" s="925"/>
      <c r="E55" s="925"/>
      <c r="F55" s="897"/>
      <c r="G55" s="897"/>
      <c r="H55" s="284" t="s">
        <v>463</v>
      </c>
      <c r="I55" s="700">
        <v>0</v>
      </c>
      <c r="J55" s="741"/>
    </row>
    <row r="56" spans="1:10">
      <c r="A56" s="907">
        <v>12</v>
      </c>
      <c r="B56" s="907">
        <v>925</v>
      </c>
      <c r="C56" s="907">
        <v>92502</v>
      </c>
      <c r="D56" s="739" t="s">
        <v>457</v>
      </c>
      <c r="E56" s="701" t="s">
        <v>576</v>
      </c>
      <c r="F56" s="908" t="s">
        <v>193</v>
      </c>
      <c r="G56" s="908">
        <v>2011</v>
      </c>
      <c r="H56" s="690" t="s">
        <v>458</v>
      </c>
      <c r="I56" s="691">
        <f>I57+I58+I59</f>
        <v>0</v>
      </c>
      <c r="J56" s="724">
        <f>J57+J59</f>
        <v>0</v>
      </c>
    </row>
    <row r="57" spans="1:10" ht="15.75" customHeight="1">
      <c r="A57" s="907"/>
      <c r="B57" s="907"/>
      <c r="C57" s="907"/>
      <c r="D57" s="739" t="s">
        <v>459</v>
      </c>
      <c r="E57" s="702" t="s">
        <v>577</v>
      </c>
      <c r="F57" s="908"/>
      <c r="G57" s="908"/>
      <c r="H57" s="692" t="s">
        <v>460</v>
      </c>
      <c r="I57" s="693">
        <v>0</v>
      </c>
      <c r="J57" s="720">
        <v>0</v>
      </c>
    </row>
    <row r="58" spans="1:10" ht="15" customHeight="1">
      <c r="A58" s="907"/>
      <c r="B58" s="907"/>
      <c r="C58" s="907"/>
      <c r="D58" s="907" t="s">
        <v>461</v>
      </c>
      <c r="E58" s="909" t="s">
        <v>578</v>
      </c>
      <c r="F58" s="908"/>
      <c r="G58" s="908"/>
      <c r="H58" s="692" t="s">
        <v>462</v>
      </c>
      <c r="I58" s="693">
        <v>0</v>
      </c>
      <c r="J58" s="721"/>
    </row>
    <row r="59" spans="1:10">
      <c r="A59" s="907"/>
      <c r="B59" s="907"/>
      <c r="C59" s="907"/>
      <c r="D59" s="907"/>
      <c r="E59" s="909"/>
      <c r="F59" s="908"/>
      <c r="G59" s="908"/>
      <c r="H59" s="692" t="s">
        <v>468</v>
      </c>
      <c r="I59" s="693">
        <v>0</v>
      </c>
      <c r="J59" s="721"/>
    </row>
    <row r="60" spans="1:10" ht="12.75" customHeight="1">
      <c r="A60" s="933" t="s">
        <v>238</v>
      </c>
      <c r="B60" s="857" t="s">
        <v>7</v>
      </c>
      <c r="C60" s="857" t="s">
        <v>152</v>
      </c>
      <c r="D60" s="935" t="s">
        <v>454</v>
      </c>
      <c r="E60" s="936"/>
      <c r="F60" s="857" t="s">
        <v>455</v>
      </c>
      <c r="G60" s="857" t="s">
        <v>227</v>
      </c>
      <c r="H60" s="857" t="s">
        <v>456</v>
      </c>
      <c r="I60" s="903" t="s">
        <v>11</v>
      </c>
      <c r="J60" s="857" t="s">
        <v>12</v>
      </c>
    </row>
    <row r="61" spans="1:10" ht="32.25" customHeight="1">
      <c r="A61" s="934"/>
      <c r="B61" s="858"/>
      <c r="C61" s="858"/>
      <c r="D61" s="860"/>
      <c r="E61" s="937"/>
      <c r="F61" s="858"/>
      <c r="G61" s="858"/>
      <c r="H61" s="858"/>
      <c r="I61" s="903"/>
      <c r="J61" s="858"/>
    </row>
    <row r="62" spans="1:10">
      <c r="A62" s="675">
        <v>1</v>
      </c>
      <c r="B62" s="675">
        <v>2</v>
      </c>
      <c r="C62" s="675">
        <v>3</v>
      </c>
      <c r="D62" s="931">
        <v>4</v>
      </c>
      <c r="E62" s="932"/>
      <c r="F62" s="675">
        <v>5</v>
      </c>
      <c r="G62" s="675">
        <v>6</v>
      </c>
      <c r="H62" s="675">
        <v>7</v>
      </c>
      <c r="I62" s="706">
        <v>8</v>
      </c>
      <c r="J62" s="707">
        <v>9</v>
      </c>
    </row>
    <row r="63" spans="1:10">
      <c r="A63" s="892">
        <v>13</v>
      </c>
      <c r="B63" s="895">
        <v>801</v>
      </c>
      <c r="C63" s="895">
        <v>80130</v>
      </c>
      <c r="D63" s="695" t="s">
        <v>457</v>
      </c>
      <c r="E63" s="701" t="s">
        <v>579</v>
      </c>
      <c r="F63" s="896" t="s">
        <v>193</v>
      </c>
      <c r="G63" s="896" t="s">
        <v>580</v>
      </c>
      <c r="H63" s="697" t="s">
        <v>458</v>
      </c>
      <c r="I63" s="698">
        <f>I64+I65+I66</f>
        <v>2196</v>
      </c>
      <c r="J63" s="724">
        <f>J64+J66</f>
        <v>2196</v>
      </c>
    </row>
    <row r="64" spans="1:10" ht="25.5">
      <c r="A64" s="893"/>
      <c r="B64" s="895"/>
      <c r="C64" s="895"/>
      <c r="D64" s="695" t="s">
        <v>459</v>
      </c>
      <c r="E64" s="708" t="s">
        <v>581</v>
      </c>
      <c r="F64" s="896"/>
      <c r="G64" s="896"/>
      <c r="H64" s="284" t="s">
        <v>460</v>
      </c>
      <c r="I64" s="700">
        <v>2196</v>
      </c>
      <c r="J64" s="693">
        <v>2196</v>
      </c>
    </row>
    <row r="65" spans="1:10" ht="22.5">
      <c r="A65" s="893"/>
      <c r="B65" s="895"/>
      <c r="C65" s="895"/>
      <c r="D65" s="898" t="s">
        <v>461</v>
      </c>
      <c r="E65" s="900" t="s">
        <v>582</v>
      </c>
      <c r="F65" s="896"/>
      <c r="G65" s="896"/>
      <c r="H65" s="284" t="s">
        <v>462</v>
      </c>
      <c r="I65" s="700">
        <v>0</v>
      </c>
      <c r="J65" s="694"/>
    </row>
    <row r="66" spans="1:10">
      <c r="A66" s="894"/>
      <c r="B66" s="892"/>
      <c r="C66" s="892"/>
      <c r="D66" s="899"/>
      <c r="E66" s="901"/>
      <c r="F66" s="897"/>
      <c r="G66" s="897"/>
      <c r="H66" s="284" t="s">
        <v>468</v>
      </c>
      <c r="I66" s="700">
        <v>0</v>
      </c>
      <c r="J66" s="694"/>
    </row>
    <row r="67" spans="1:10" ht="15.75" customHeight="1">
      <c r="A67" s="892">
        <v>14</v>
      </c>
      <c r="B67" s="895">
        <v>600</v>
      </c>
      <c r="C67" s="895">
        <v>60014</v>
      </c>
      <c r="D67" s="695" t="s">
        <v>457</v>
      </c>
      <c r="E67" s="699" t="s">
        <v>465</v>
      </c>
      <c r="F67" s="896" t="s">
        <v>193</v>
      </c>
      <c r="G67" s="896">
        <v>2011</v>
      </c>
      <c r="H67" s="697" t="s">
        <v>458</v>
      </c>
      <c r="I67" s="698">
        <f>I68+I69+I70</f>
        <v>0</v>
      </c>
      <c r="J67" s="724">
        <f>J68+J70</f>
        <v>0</v>
      </c>
    </row>
    <row r="68" spans="1:10" ht="38.25">
      <c r="A68" s="893"/>
      <c r="B68" s="895"/>
      <c r="C68" s="895"/>
      <c r="D68" s="695" t="s">
        <v>459</v>
      </c>
      <c r="E68" s="708" t="s">
        <v>583</v>
      </c>
      <c r="F68" s="896"/>
      <c r="G68" s="896"/>
      <c r="H68" s="284" t="s">
        <v>460</v>
      </c>
      <c r="I68" s="700">
        <v>0</v>
      </c>
      <c r="J68" s="720">
        <v>0</v>
      </c>
    </row>
    <row r="69" spans="1:10" ht="22.5">
      <c r="A69" s="893"/>
      <c r="B69" s="895"/>
      <c r="C69" s="895"/>
      <c r="D69" s="898" t="s">
        <v>461</v>
      </c>
      <c r="E69" s="900" t="s">
        <v>583</v>
      </c>
      <c r="F69" s="896"/>
      <c r="G69" s="896"/>
      <c r="H69" s="284" t="s">
        <v>462</v>
      </c>
      <c r="I69" s="700">
        <v>0</v>
      </c>
      <c r="J69" s="721"/>
    </row>
    <row r="70" spans="1:10">
      <c r="A70" s="894"/>
      <c r="B70" s="892"/>
      <c r="C70" s="892"/>
      <c r="D70" s="899"/>
      <c r="E70" s="901"/>
      <c r="F70" s="897"/>
      <c r="G70" s="897"/>
      <c r="H70" s="284" t="s">
        <v>463</v>
      </c>
      <c r="I70" s="700">
        <v>0</v>
      </c>
      <c r="J70" s="721"/>
    </row>
    <row r="71" spans="1:10" ht="25.5">
      <c r="A71" s="892">
        <v>15</v>
      </c>
      <c r="B71" s="895">
        <v>600</v>
      </c>
      <c r="C71" s="895">
        <v>60014</v>
      </c>
      <c r="D71" s="695" t="s">
        <v>457</v>
      </c>
      <c r="E71" s="696" t="s">
        <v>466</v>
      </c>
      <c r="F71" s="896" t="s">
        <v>193</v>
      </c>
      <c r="G71" s="896" t="s">
        <v>580</v>
      </c>
      <c r="H71" s="697" t="s">
        <v>458</v>
      </c>
      <c r="I71" s="698">
        <f>I72+I73+I74</f>
        <v>45140</v>
      </c>
      <c r="J71" s="724">
        <f>J72+J74</f>
        <v>45140</v>
      </c>
    </row>
    <row r="72" spans="1:10" ht="25.5">
      <c r="A72" s="893"/>
      <c r="B72" s="895"/>
      <c r="C72" s="895"/>
      <c r="D72" s="695" t="s">
        <v>459</v>
      </c>
      <c r="E72" s="708" t="s">
        <v>584</v>
      </c>
      <c r="F72" s="896"/>
      <c r="G72" s="896"/>
      <c r="H72" s="284" t="s">
        <v>460</v>
      </c>
      <c r="I72" s="700">
        <v>45140</v>
      </c>
      <c r="J72" s="720">
        <v>45140</v>
      </c>
    </row>
    <row r="73" spans="1:10" ht="22.5">
      <c r="A73" s="893"/>
      <c r="B73" s="895"/>
      <c r="C73" s="895"/>
      <c r="D73" s="898" t="s">
        <v>461</v>
      </c>
      <c r="E73" s="900" t="s">
        <v>585</v>
      </c>
      <c r="F73" s="896"/>
      <c r="G73" s="896"/>
      <c r="H73" s="284" t="s">
        <v>462</v>
      </c>
      <c r="I73" s="700">
        <v>0</v>
      </c>
      <c r="J73" s="721"/>
    </row>
    <row r="74" spans="1:10">
      <c r="A74" s="894"/>
      <c r="B74" s="892"/>
      <c r="C74" s="892"/>
      <c r="D74" s="899"/>
      <c r="E74" s="901"/>
      <c r="F74" s="897"/>
      <c r="G74" s="897"/>
      <c r="H74" s="284" t="s">
        <v>468</v>
      </c>
      <c r="I74" s="700">
        <v>0</v>
      </c>
      <c r="J74" s="721"/>
    </row>
    <row r="75" spans="1:10">
      <c r="A75" s="907">
        <v>16</v>
      </c>
      <c r="B75" s="907">
        <v>750</v>
      </c>
      <c r="C75" s="907">
        <v>75020</v>
      </c>
      <c r="D75" s="911" t="s">
        <v>573</v>
      </c>
      <c r="E75" s="908" t="s">
        <v>586</v>
      </c>
      <c r="F75" s="908" t="s">
        <v>193</v>
      </c>
      <c r="G75" s="908" t="s">
        <v>580</v>
      </c>
      <c r="H75" s="690" t="s">
        <v>458</v>
      </c>
      <c r="I75" s="691">
        <f>I76+I77+I78</f>
        <v>23800</v>
      </c>
      <c r="J75" s="724">
        <f>J76+J78</f>
        <v>22800</v>
      </c>
    </row>
    <row r="76" spans="1:10">
      <c r="A76" s="907"/>
      <c r="B76" s="907"/>
      <c r="C76" s="907"/>
      <c r="D76" s="912"/>
      <c r="E76" s="908"/>
      <c r="F76" s="908"/>
      <c r="G76" s="908"/>
      <c r="H76" s="692" t="s">
        <v>460</v>
      </c>
      <c r="I76" s="693">
        <v>23800</v>
      </c>
      <c r="J76" s="720">
        <v>22800</v>
      </c>
    </row>
    <row r="77" spans="1:10" ht="22.5">
      <c r="A77" s="907"/>
      <c r="B77" s="907"/>
      <c r="C77" s="907"/>
      <c r="D77" s="912"/>
      <c r="E77" s="908"/>
      <c r="F77" s="908"/>
      <c r="G77" s="908"/>
      <c r="H77" s="692" t="s">
        <v>462</v>
      </c>
      <c r="I77" s="693">
        <v>0</v>
      </c>
      <c r="J77" s="721"/>
    </row>
    <row r="78" spans="1:10">
      <c r="A78" s="907"/>
      <c r="B78" s="907"/>
      <c r="C78" s="907"/>
      <c r="D78" s="913"/>
      <c r="E78" s="908"/>
      <c r="F78" s="908"/>
      <c r="G78" s="908"/>
      <c r="H78" s="692" t="s">
        <v>468</v>
      </c>
      <c r="I78" s="693">
        <v>0</v>
      </c>
      <c r="J78" s="721"/>
    </row>
    <row r="79" spans="1:10">
      <c r="A79" s="907">
        <v>17</v>
      </c>
      <c r="B79" s="907">
        <v>600</v>
      </c>
      <c r="C79" s="907">
        <v>60014</v>
      </c>
      <c r="D79" s="911" t="s">
        <v>573</v>
      </c>
      <c r="E79" s="908" t="s">
        <v>587</v>
      </c>
      <c r="F79" s="908" t="s">
        <v>193</v>
      </c>
      <c r="G79" s="908" t="s">
        <v>588</v>
      </c>
      <c r="H79" s="690" t="s">
        <v>458</v>
      </c>
      <c r="I79" s="691">
        <f>I80</f>
        <v>48678</v>
      </c>
      <c r="J79" s="724">
        <f>J80</f>
        <v>48678</v>
      </c>
    </row>
    <row r="80" spans="1:10">
      <c r="A80" s="907"/>
      <c r="B80" s="907"/>
      <c r="C80" s="907"/>
      <c r="D80" s="912"/>
      <c r="E80" s="908"/>
      <c r="F80" s="908"/>
      <c r="G80" s="908"/>
      <c r="H80" s="692" t="s">
        <v>460</v>
      </c>
      <c r="I80" s="693">
        <v>48678</v>
      </c>
      <c r="J80" s="720">
        <v>48678</v>
      </c>
    </row>
    <row r="81" spans="1:10" ht="22.5">
      <c r="A81" s="907"/>
      <c r="B81" s="907"/>
      <c r="C81" s="907"/>
      <c r="D81" s="912"/>
      <c r="E81" s="908"/>
      <c r="F81" s="908"/>
      <c r="G81" s="908"/>
      <c r="H81" s="692" t="s">
        <v>462</v>
      </c>
      <c r="I81" s="693">
        <v>0</v>
      </c>
      <c r="J81" s="721"/>
    </row>
    <row r="82" spans="1:10">
      <c r="A82" s="709"/>
      <c r="B82" s="710"/>
      <c r="C82" s="710"/>
      <c r="D82" s="710"/>
      <c r="E82" s="710"/>
      <c r="F82" s="710"/>
      <c r="G82" s="711"/>
      <c r="H82" s="712" t="s">
        <v>458</v>
      </c>
      <c r="I82" s="698">
        <f>I83+I84+I86+I85</f>
        <v>4622415.2300000004</v>
      </c>
      <c r="J82" s="722">
        <f>J83+J84+J86+J85</f>
        <v>4612033.3500000006</v>
      </c>
    </row>
    <row r="83" spans="1:10">
      <c r="A83" s="713"/>
      <c r="B83" s="714"/>
      <c r="C83" s="714"/>
      <c r="D83" s="714"/>
      <c r="E83" s="714"/>
      <c r="F83" s="714"/>
      <c r="G83" s="715"/>
      <c r="H83" s="285" t="s">
        <v>460</v>
      </c>
      <c r="I83" s="700">
        <f>I53+I41+I37+I33+I26+I22+I10+I14+I18+I49+I45+I57+I64+I68+I72+I76+I80</f>
        <v>530766.23</v>
      </c>
      <c r="J83" s="723">
        <f>J53+J41+J37+J33+J26+J22+J10+J14+J18+J49+J45+J57+J64+J68+J72+J76+J80</f>
        <v>520385.1100000001</v>
      </c>
    </row>
    <row r="84" spans="1:10" ht="22.5">
      <c r="A84" s="713"/>
      <c r="B84" s="714"/>
      <c r="C84" s="714"/>
      <c r="D84" s="714"/>
      <c r="E84" s="714"/>
      <c r="F84" s="714"/>
      <c r="G84" s="715"/>
      <c r="H84" s="286" t="s">
        <v>462</v>
      </c>
      <c r="I84" s="705">
        <f>I54+I42+I38+I34+I27+I23+I11+I15+I19+I50+I46+I65+I69+I73+I77</f>
        <v>2594435</v>
      </c>
      <c r="J84" s="740">
        <f>J54+J42+J38+J34+J27+J23+J11+J15+J19+J50+J46+J65+J69+J73+J77</f>
        <v>2594434.2400000002</v>
      </c>
    </row>
    <row r="85" spans="1:10">
      <c r="A85" s="713"/>
      <c r="B85" s="714"/>
      <c r="C85" s="714"/>
      <c r="D85" s="714"/>
      <c r="E85" s="714"/>
      <c r="F85" s="714"/>
      <c r="G85" s="715"/>
      <c r="H85" s="286" t="s">
        <v>463</v>
      </c>
      <c r="I85" s="705">
        <f>I12+I55+I20+I70</f>
        <v>1497214</v>
      </c>
      <c r="J85" s="740">
        <f>J12+J55+J20+J70</f>
        <v>1497214</v>
      </c>
    </row>
    <row r="86" spans="1:10">
      <c r="A86" s="716"/>
      <c r="B86" s="717"/>
      <c r="C86" s="717"/>
      <c r="D86" s="717"/>
      <c r="E86" s="717"/>
      <c r="F86" s="717"/>
      <c r="G86" s="718"/>
      <c r="H86" s="286" t="s">
        <v>468</v>
      </c>
      <c r="I86" s="705">
        <f>I43+I39+I35+I28+I24+I51+I16++I47+I59+I66+I74</f>
        <v>0</v>
      </c>
      <c r="J86" s="740">
        <f>J43+J39+J35+J28+J24+J51+J16++J47+J59+J66+J74</f>
        <v>0</v>
      </c>
    </row>
  </sheetData>
  <mergeCells count="158">
    <mergeCell ref="J29:J30"/>
    <mergeCell ref="J60:J61"/>
    <mergeCell ref="F75:F78"/>
    <mergeCell ref="G75:G78"/>
    <mergeCell ref="A79:A81"/>
    <mergeCell ref="B79:B81"/>
    <mergeCell ref="C79:C81"/>
    <mergeCell ref="D79:D81"/>
    <mergeCell ref="E79:E81"/>
    <mergeCell ref="F79:F81"/>
    <mergeCell ref="G79:G81"/>
    <mergeCell ref="A75:A78"/>
    <mergeCell ref="B75:B78"/>
    <mergeCell ref="C75:C78"/>
    <mergeCell ref="D75:D78"/>
    <mergeCell ref="E75:E78"/>
    <mergeCell ref="H60:H61"/>
    <mergeCell ref="I60:I61"/>
    <mergeCell ref="D62:E62"/>
    <mergeCell ref="A60:A61"/>
    <mergeCell ref="B60:B61"/>
    <mergeCell ref="C60:C61"/>
    <mergeCell ref="D60:E61"/>
    <mergeCell ref="F60:F61"/>
    <mergeCell ref="A71:A74"/>
    <mergeCell ref="B71:B74"/>
    <mergeCell ref="C71:C74"/>
    <mergeCell ref="F71:F74"/>
    <mergeCell ref="G71:G74"/>
    <mergeCell ref="D73:D74"/>
    <mergeCell ref="E73:E74"/>
    <mergeCell ref="A67:A70"/>
    <mergeCell ref="B67:B70"/>
    <mergeCell ref="C67:C70"/>
    <mergeCell ref="F67:F70"/>
    <mergeCell ref="G67:G70"/>
    <mergeCell ref="D69:D70"/>
    <mergeCell ref="E69:E70"/>
    <mergeCell ref="A63:A66"/>
    <mergeCell ref="B63:B66"/>
    <mergeCell ref="C63:C66"/>
    <mergeCell ref="F63:F66"/>
    <mergeCell ref="G63:G66"/>
    <mergeCell ref="D65:D66"/>
    <mergeCell ref="E65:E66"/>
    <mergeCell ref="F52:F55"/>
    <mergeCell ref="G52:G55"/>
    <mergeCell ref="A56:A59"/>
    <mergeCell ref="B56:B59"/>
    <mergeCell ref="C56:C59"/>
    <mergeCell ref="F56:F59"/>
    <mergeCell ref="G56:G59"/>
    <mergeCell ref="D58:D59"/>
    <mergeCell ref="E58:E59"/>
    <mergeCell ref="A52:A55"/>
    <mergeCell ref="B52:B55"/>
    <mergeCell ref="C52:C55"/>
    <mergeCell ref="D52:D55"/>
    <mergeCell ref="E52:E55"/>
    <mergeCell ref="G60:G61"/>
    <mergeCell ref="H29:H30"/>
    <mergeCell ref="I29:I30"/>
    <mergeCell ref="D31:E31"/>
    <mergeCell ref="A36:A39"/>
    <mergeCell ref="B36:B39"/>
    <mergeCell ref="C36:C39"/>
    <mergeCell ref="D36:D37"/>
    <mergeCell ref="E36:E37"/>
    <mergeCell ref="F36:F39"/>
    <mergeCell ref="G36:G39"/>
    <mergeCell ref="D38:D39"/>
    <mergeCell ref="E38:E39"/>
    <mergeCell ref="H19:H20"/>
    <mergeCell ref="I19:I20"/>
    <mergeCell ref="J19:J20"/>
    <mergeCell ref="D15:D16"/>
    <mergeCell ref="E15:E16"/>
    <mergeCell ref="A17:A20"/>
    <mergeCell ref="B17:B20"/>
    <mergeCell ref="C17:C20"/>
    <mergeCell ref="D19:D20"/>
    <mergeCell ref="E19:E20"/>
    <mergeCell ref="D17:D18"/>
    <mergeCell ref="E17:E18"/>
    <mergeCell ref="A13:A16"/>
    <mergeCell ref="B13:B16"/>
    <mergeCell ref="C13:C16"/>
    <mergeCell ref="F13:F16"/>
    <mergeCell ref="G13:G16"/>
    <mergeCell ref="F17:F20"/>
    <mergeCell ref="G17:G20"/>
    <mergeCell ref="D8:E8"/>
    <mergeCell ref="A9:A12"/>
    <mergeCell ref="B9:B12"/>
    <mergeCell ref="C9:C12"/>
    <mergeCell ref="F9:F12"/>
    <mergeCell ref="D11:D12"/>
    <mergeCell ref="E11:E12"/>
    <mergeCell ref="A3:J3"/>
    <mergeCell ref="A6:A7"/>
    <mergeCell ref="B6:B7"/>
    <mergeCell ref="C6:C7"/>
    <mergeCell ref="D6:E7"/>
    <mergeCell ref="F6:F7"/>
    <mergeCell ref="G6:G7"/>
    <mergeCell ref="H6:H7"/>
    <mergeCell ref="I6:I7"/>
    <mergeCell ref="J6:J7"/>
    <mergeCell ref="G9:G12"/>
    <mergeCell ref="A4:J4"/>
    <mergeCell ref="A21:A24"/>
    <mergeCell ref="B21:B24"/>
    <mergeCell ref="C21:C24"/>
    <mergeCell ref="F21:F24"/>
    <mergeCell ref="G21:G24"/>
    <mergeCell ref="D23:D24"/>
    <mergeCell ref="E23:E24"/>
    <mergeCell ref="A25:A28"/>
    <mergeCell ref="B25:B28"/>
    <mergeCell ref="C25:C28"/>
    <mergeCell ref="F25:F28"/>
    <mergeCell ref="G25:G28"/>
    <mergeCell ref="D27:D28"/>
    <mergeCell ref="E27:E28"/>
    <mergeCell ref="A32:A35"/>
    <mergeCell ref="B32:B35"/>
    <mergeCell ref="C32:C35"/>
    <mergeCell ref="F32:F35"/>
    <mergeCell ref="G32:G35"/>
    <mergeCell ref="D34:D35"/>
    <mergeCell ref="E34:E35"/>
    <mergeCell ref="A29:A30"/>
    <mergeCell ref="B29:B30"/>
    <mergeCell ref="C29:C30"/>
    <mergeCell ref="D29:E30"/>
    <mergeCell ref="F29:F30"/>
    <mergeCell ref="G29:G30"/>
    <mergeCell ref="A48:A51"/>
    <mergeCell ref="B48:B51"/>
    <mergeCell ref="C48:C51"/>
    <mergeCell ref="F48:F51"/>
    <mergeCell ref="G48:G51"/>
    <mergeCell ref="D50:D51"/>
    <mergeCell ref="E50:E51"/>
    <mergeCell ref="A40:A43"/>
    <mergeCell ref="B40:B43"/>
    <mergeCell ref="C40:C43"/>
    <mergeCell ref="F40:F43"/>
    <mergeCell ref="G40:G43"/>
    <mergeCell ref="D42:D43"/>
    <mergeCell ref="E42:E43"/>
    <mergeCell ref="A44:A47"/>
    <mergeCell ref="B44:B47"/>
    <mergeCell ref="C44:C47"/>
    <mergeCell ref="F44:F47"/>
    <mergeCell ref="G44:G47"/>
    <mergeCell ref="D46:D47"/>
    <mergeCell ref="E46:E47"/>
  </mergeCells>
  <pageMargins left="0.7" right="0.7" top="0.75" bottom="0.75" header="0.3" footer="0.3"/>
  <pageSetup paperSize="9" firstPageNumber="59" orientation="landscape" useFirstPageNumber="1" horizontalDpi="1200" verticalDpi="1200" r:id="rId1"/>
  <headerFooter alignWithMargins="0">
    <oddFooter>&amp;CZałącznik Nr 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15"/>
  <sheetViews>
    <sheetView view="pageLayout" workbookViewId="0">
      <selection activeCell="C21" sqref="C20:C21"/>
    </sheetView>
  </sheetViews>
  <sheetFormatPr defaultColWidth="9" defaultRowHeight="12.75"/>
  <cols>
    <col min="1" max="1" width="4" customWidth="1"/>
    <col min="2" max="2" width="7.7109375" customWidth="1"/>
    <col min="3" max="3" width="27" customWidth="1"/>
    <col min="4" max="4" width="26.42578125" customWidth="1"/>
    <col min="5" max="5" width="12.85546875" customWidth="1"/>
    <col min="6" max="6" width="10.28515625" customWidth="1"/>
    <col min="7" max="7" width="10.7109375" customWidth="1"/>
    <col min="8" max="8" width="11.28515625" customWidth="1"/>
    <col min="9" max="10" width="12.28515625" customWidth="1"/>
    <col min="11" max="11" width="1" customWidth="1"/>
    <col min="12" max="12" width="0" hidden="1" customWidth="1"/>
  </cols>
  <sheetData>
    <row r="1" spans="1:12">
      <c r="A1" s="2"/>
      <c r="B1" s="2"/>
      <c r="C1" s="2"/>
      <c r="D1" s="2"/>
      <c r="E1" s="2"/>
      <c r="F1" s="2"/>
      <c r="G1" s="2"/>
      <c r="H1" s="939" t="s">
        <v>623</v>
      </c>
      <c r="I1" s="939"/>
      <c r="J1" s="939"/>
      <c r="K1" s="939"/>
    </row>
    <row r="2" spans="1:12">
      <c r="A2" s="2"/>
      <c r="B2" s="2"/>
      <c r="C2" s="2"/>
      <c r="D2" s="2"/>
      <c r="E2" s="2"/>
      <c r="F2" s="2"/>
      <c r="G2" s="2"/>
      <c r="H2" s="5"/>
      <c r="I2" s="5"/>
      <c r="J2" s="5"/>
      <c r="K2" s="5"/>
    </row>
    <row r="3" spans="1:12" ht="14.25">
      <c r="A3" s="940" t="s">
        <v>230</v>
      </c>
      <c r="B3" s="940"/>
      <c r="C3" s="940"/>
      <c r="D3" s="940"/>
      <c r="E3" s="940"/>
      <c r="F3" s="940"/>
      <c r="G3" s="940"/>
      <c r="H3" s="940"/>
      <c r="I3" s="940"/>
      <c r="J3" s="940"/>
      <c r="K3" s="940"/>
    </row>
    <row r="4" spans="1:12" ht="14.25">
      <c r="A4" s="940" t="s">
        <v>231</v>
      </c>
      <c r="B4" s="940"/>
      <c r="C4" s="940"/>
      <c r="D4" s="940"/>
      <c r="E4" s="940"/>
      <c r="F4" s="940"/>
      <c r="G4" s="940"/>
      <c r="H4" s="940"/>
      <c r="I4" s="940"/>
      <c r="J4" s="940"/>
      <c r="K4" s="940"/>
    </row>
    <row r="5" spans="1:12" ht="14.25">
      <c r="A5" s="940" t="s">
        <v>592</v>
      </c>
      <c r="B5" s="940"/>
      <c r="C5" s="940"/>
      <c r="D5" s="940"/>
      <c r="E5" s="940"/>
      <c r="F5" s="940"/>
      <c r="G5" s="940"/>
      <c r="H5" s="940"/>
      <c r="I5" s="940"/>
      <c r="J5" s="940"/>
      <c r="K5" s="940"/>
    </row>
    <row r="6" spans="1:1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2">
      <c r="A7" s="2"/>
      <c r="B7" s="2"/>
      <c r="C7" s="2"/>
      <c r="D7" s="2"/>
      <c r="E7" s="2"/>
      <c r="F7" s="2"/>
      <c r="G7" s="2"/>
      <c r="H7" s="2"/>
      <c r="I7" s="2"/>
      <c r="J7" s="5" t="s">
        <v>6</v>
      </c>
      <c r="K7" s="396"/>
      <c r="L7" s="308"/>
    </row>
    <row r="8" spans="1:12" ht="21" customHeight="1">
      <c r="A8" s="941" t="s">
        <v>7</v>
      </c>
      <c r="B8" s="941" t="s">
        <v>152</v>
      </c>
      <c r="C8" s="941" t="s">
        <v>507</v>
      </c>
      <c r="D8" s="941" t="s">
        <v>478</v>
      </c>
      <c r="E8" s="941" t="s">
        <v>226</v>
      </c>
      <c r="F8" s="792" t="s">
        <v>227</v>
      </c>
      <c r="G8" s="792"/>
      <c r="H8" s="942" t="s">
        <v>479</v>
      </c>
      <c r="I8" s="941" t="s">
        <v>591</v>
      </c>
      <c r="J8" s="941"/>
      <c r="K8" s="430"/>
      <c r="L8" s="424"/>
    </row>
    <row r="9" spans="1:12" ht="54.75" customHeight="1">
      <c r="A9" s="941"/>
      <c r="B9" s="941"/>
      <c r="C9" s="941"/>
      <c r="D9" s="941"/>
      <c r="E9" s="941"/>
      <c r="F9" s="295" t="s">
        <v>228</v>
      </c>
      <c r="G9" s="295" t="s">
        <v>229</v>
      </c>
      <c r="H9" s="942"/>
      <c r="I9" s="397" t="s">
        <v>240</v>
      </c>
      <c r="J9" s="397" t="s">
        <v>480</v>
      </c>
      <c r="K9" s="431"/>
      <c r="L9" s="425" t="s">
        <v>13</v>
      </c>
    </row>
    <row r="10" spans="1:12">
      <c r="A10" s="270">
        <v>1</v>
      </c>
      <c r="B10" s="270">
        <v>2</v>
      </c>
      <c r="C10" s="270">
        <v>3</v>
      </c>
      <c r="D10" s="270">
        <v>4</v>
      </c>
      <c r="E10" s="270">
        <v>5</v>
      </c>
      <c r="F10" s="270">
        <v>6</v>
      </c>
      <c r="G10" s="270">
        <v>7</v>
      </c>
      <c r="H10" s="289">
        <v>8</v>
      </c>
      <c r="I10" s="395">
        <v>9</v>
      </c>
      <c r="J10" s="395">
        <v>10</v>
      </c>
      <c r="K10" s="432"/>
      <c r="L10" s="426"/>
    </row>
    <row r="11" spans="1:12" ht="65.25" customHeight="1">
      <c r="A11" s="438">
        <v>853</v>
      </c>
      <c r="B11" s="438">
        <v>85395</v>
      </c>
      <c r="C11" s="287" t="s">
        <v>590</v>
      </c>
      <c r="D11" s="288" t="s">
        <v>589</v>
      </c>
      <c r="E11" s="294" t="s">
        <v>203</v>
      </c>
      <c r="F11" s="437">
        <v>2008</v>
      </c>
      <c r="G11" s="436">
        <v>2010</v>
      </c>
      <c r="H11" s="290">
        <f>65583.19+86742.67</f>
        <v>152325.85999999999</v>
      </c>
      <c r="I11" s="292">
        <v>86787</v>
      </c>
      <c r="J11" s="293">
        <v>86742.67</v>
      </c>
      <c r="K11" s="433"/>
      <c r="L11" s="428"/>
    </row>
    <row r="12" spans="1:12" ht="51">
      <c r="A12" s="438">
        <v>853</v>
      </c>
      <c r="B12" s="438">
        <v>85395</v>
      </c>
      <c r="C12" s="287" t="s">
        <v>590</v>
      </c>
      <c r="D12" s="288" t="s">
        <v>481</v>
      </c>
      <c r="E12" s="294" t="s">
        <v>202</v>
      </c>
      <c r="F12" s="437">
        <v>2008</v>
      </c>
      <c r="G12" s="436">
        <v>2013</v>
      </c>
      <c r="H12" s="290">
        <f>855733.5+929545.17</f>
        <v>1785278.67</v>
      </c>
      <c r="I12" s="292">
        <f>375170+526152.23+30949.57</f>
        <v>932271.79999999993</v>
      </c>
      <c r="J12" s="293">
        <f>372446.49+526149.58+30949.1</f>
        <v>929545.16999999993</v>
      </c>
      <c r="K12" s="433"/>
      <c r="L12" s="427">
        <f>K12/I12*100</f>
        <v>0</v>
      </c>
    </row>
    <row r="13" spans="1:12">
      <c r="A13" s="938" t="s">
        <v>233</v>
      </c>
      <c r="B13" s="938"/>
      <c r="C13" s="938"/>
      <c r="D13" s="938"/>
      <c r="E13" s="938"/>
      <c r="F13" s="938"/>
      <c r="G13" s="938"/>
      <c r="H13" s="291">
        <f>SUM(H11:H12)</f>
        <v>1937604.5299999998</v>
      </c>
      <c r="I13" s="449">
        <f>SUM(I11:I12)</f>
        <v>1019058.7999999999</v>
      </c>
      <c r="J13" s="450">
        <f>SUM(J11:J12)</f>
        <v>1016287.84</v>
      </c>
      <c r="K13" s="434"/>
      <c r="L13" s="429">
        <f t="shared" ref="L13" si="0">K13/I13*100</f>
        <v>0</v>
      </c>
    </row>
    <row r="14" spans="1:12">
      <c r="I14" s="99"/>
      <c r="J14" s="99"/>
      <c r="K14" s="435"/>
      <c r="L14" s="4"/>
    </row>
    <row r="15" spans="1:12">
      <c r="K15" s="4"/>
      <c r="L15" s="4"/>
    </row>
  </sheetData>
  <mergeCells count="13">
    <mergeCell ref="A13:G13"/>
    <mergeCell ref="H1:K1"/>
    <mergeCell ref="A3:K3"/>
    <mergeCell ref="A4:K4"/>
    <mergeCell ref="A5:K5"/>
    <mergeCell ref="A8:A9"/>
    <mergeCell ref="B8:B9"/>
    <mergeCell ref="C8:C9"/>
    <mergeCell ref="F8:G8"/>
    <mergeCell ref="H8:H9"/>
    <mergeCell ref="D8:D9"/>
    <mergeCell ref="E8:E9"/>
    <mergeCell ref="I8:J8"/>
  </mergeCells>
  <pageMargins left="0.7" right="0.7" top="0.75" bottom="0.75" header="0.3" footer="0.3"/>
  <pageSetup paperSize="9" scale="97" firstPageNumber="60" orientation="landscape" useFirstPageNumber="1" horizontalDpi="1200" verticalDpi="1200" r:id="rId1"/>
  <headerFooter alignWithMargins="0">
    <oddFooter>&amp;CZałącznik Nr 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J43"/>
  <sheetViews>
    <sheetView view="pageLayout" workbookViewId="0">
      <selection activeCell="D54" sqref="D53:D54"/>
    </sheetView>
  </sheetViews>
  <sheetFormatPr defaultColWidth="9" defaultRowHeight="12.75"/>
  <cols>
    <col min="1" max="1" width="4.85546875" style="9" customWidth="1"/>
    <col min="2" max="2" width="40.42578125" style="9" customWidth="1"/>
    <col min="3" max="3" width="9" style="9" customWidth="1"/>
    <col min="4" max="4" width="12.28515625" style="9" customWidth="1"/>
    <col min="5" max="5" width="11" style="9" customWidth="1"/>
    <col min="6" max="6" width="6.5703125" style="9" customWidth="1"/>
    <col min="7" max="7" width="10.7109375" style="9" customWidth="1"/>
    <col min="8" max="8" width="10.42578125" style="9" customWidth="1"/>
    <col min="9" max="9" width="10" style="9" customWidth="1"/>
    <col min="10" max="10" width="7.28515625" style="9" customWidth="1"/>
    <col min="11" max="16384" width="9" style="9"/>
  </cols>
  <sheetData>
    <row r="1" spans="1:10">
      <c r="A1" s="2"/>
      <c r="B1" s="2"/>
      <c r="C1" s="29"/>
      <c r="D1" s="30"/>
      <c r="E1" s="755" t="s">
        <v>502</v>
      </c>
      <c r="F1" s="755"/>
      <c r="G1" s="31"/>
      <c r="H1" s="31"/>
      <c r="I1" s="943"/>
      <c r="J1" s="943"/>
    </row>
    <row r="2" spans="1:10" hidden="1">
      <c r="A2" s="2"/>
      <c r="B2" s="2"/>
      <c r="C2" s="944" t="s">
        <v>234</v>
      </c>
      <c r="D2" s="944"/>
      <c r="E2" s="29"/>
      <c r="F2" s="29"/>
      <c r="G2" s="32"/>
      <c r="H2" s="31"/>
      <c r="I2" s="31"/>
      <c r="J2" s="31"/>
    </row>
    <row r="3" spans="1:10" hidden="1">
      <c r="A3" s="2"/>
      <c r="B3" s="2"/>
      <c r="C3" s="944" t="s">
        <v>235</v>
      </c>
      <c r="D3" s="944"/>
      <c r="E3" s="29"/>
      <c r="F3" s="29"/>
      <c r="G3" s="31"/>
      <c r="H3" s="31"/>
      <c r="I3" s="31"/>
      <c r="J3" s="31"/>
    </row>
    <row r="4" spans="1:10" hidden="1">
      <c r="A4" s="2"/>
      <c r="B4" s="2"/>
      <c r="C4" s="944" t="s">
        <v>236</v>
      </c>
      <c r="D4" s="944"/>
      <c r="E4" s="29"/>
      <c r="F4" s="29"/>
    </row>
    <row r="5" spans="1:10">
      <c r="A5" s="2"/>
      <c r="B5" s="2"/>
      <c r="C5" s="2"/>
      <c r="D5" s="2"/>
      <c r="E5" s="29"/>
      <c r="F5" s="29"/>
    </row>
    <row r="6" spans="1:10">
      <c r="A6" s="2"/>
      <c r="B6" s="2"/>
      <c r="C6" s="2"/>
      <c r="D6" s="2"/>
      <c r="E6" s="29"/>
      <c r="F6" s="29"/>
    </row>
    <row r="7" spans="1:10">
      <c r="A7" s="2"/>
      <c r="B7" s="2"/>
      <c r="C7" s="2"/>
      <c r="D7" s="2"/>
      <c r="E7" s="29"/>
      <c r="F7" s="29"/>
    </row>
    <row r="8" spans="1:10" ht="31.5" customHeight="1">
      <c r="A8" s="945" t="s">
        <v>237</v>
      </c>
      <c r="B8" s="945"/>
      <c r="C8" s="945"/>
      <c r="D8" s="945"/>
      <c r="E8" s="945"/>
      <c r="F8" s="945"/>
    </row>
    <row r="9" spans="1:10" ht="15.75">
      <c r="A9" s="801" t="s">
        <v>598</v>
      </c>
      <c r="B9" s="801"/>
      <c r="C9" s="801"/>
      <c r="D9" s="801"/>
      <c r="E9" s="801"/>
      <c r="F9" s="801"/>
    </row>
    <row r="10" spans="1:10">
      <c r="A10" s="2"/>
      <c r="B10" s="2"/>
      <c r="C10" s="2"/>
      <c r="D10" s="29"/>
      <c r="E10" s="5" t="s">
        <v>6</v>
      </c>
      <c r="F10" s="29"/>
    </row>
    <row r="11" spans="1:10">
      <c r="A11" s="393" t="s">
        <v>238</v>
      </c>
      <c r="B11" s="393" t="s">
        <v>156</v>
      </c>
      <c r="C11" s="393" t="s">
        <v>239</v>
      </c>
      <c r="D11" s="393" t="s">
        <v>240</v>
      </c>
      <c r="E11" s="132" t="s">
        <v>12</v>
      </c>
      <c r="F11" s="132" t="s">
        <v>13</v>
      </c>
    </row>
    <row r="12" spans="1:10">
      <c r="A12" s="392">
        <v>1</v>
      </c>
      <c r="B12" s="392">
        <v>2</v>
      </c>
      <c r="C12" s="392">
        <v>3</v>
      </c>
      <c r="D12" s="392">
        <v>4</v>
      </c>
      <c r="E12" s="392">
        <v>5</v>
      </c>
      <c r="F12" s="392">
        <v>6</v>
      </c>
    </row>
    <row r="13" spans="1:10">
      <c r="A13" s="93" t="s">
        <v>241</v>
      </c>
      <c r="B13" s="133" t="s">
        <v>242</v>
      </c>
      <c r="C13" s="93" t="s">
        <v>243</v>
      </c>
      <c r="D13" s="134">
        <v>201368</v>
      </c>
      <c r="E13" s="100">
        <f>E14+E15-E16</f>
        <v>201368.44</v>
      </c>
      <c r="F13" s="135">
        <f>E13/D13*100</f>
        <v>100.00021850542291</v>
      </c>
    </row>
    <row r="14" spans="1:10">
      <c r="A14" s="92" t="s">
        <v>244</v>
      </c>
      <c r="B14" s="136" t="s">
        <v>245</v>
      </c>
      <c r="C14" s="92" t="s">
        <v>243</v>
      </c>
      <c r="D14" s="137"/>
      <c r="E14" s="94">
        <v>209816.45</v>
      </c>
      <c r="F14" s="138"/>
    </row>
    <row r="15" spans="1:10">
      <c r="A15" s="92" t="s">
        <v>246</v>
      </c>
      <c r="B15" s="136" t="s">
        <v>247</v>
      </c>
      <c r="C15" s="92" t="s">
        <v>243</v>
      </c>
      <c r="D15" s="137"/>
      <c r="E15" s="94">
        <v>19617.91</v>
      </c>
      <c r="F15" s="138"/>
    </row>
    <row r="16" spans="1:10">
      <c r="A16" s="92" t="s">
        <v>248</v>
      </c>
      <c r="B16" s="136" t="s">
        <v>249</v>
      </c>
      <c r="C16" s="92" t="s">
        <v>243</v>
      </c>
      <c r="D16" s="137">
        <v>0</v>
      </c>
      <c r="E16" s="94">
        <v>28065.919999999998</v>
      </c>
      <c r="F16" s="138"/>
    </row>
    <row r="17" spans="1:6">
      <c r="A17" s="92"/>
      <c r="B17" s="136"/>
      <c r="C17" s="92"/>
      <c r="D17" s="136"/>
      <c r="E17" s="94"/>
      <c r="F17" s="138"/>
    </row>
    <row r="18" spans="1:6">
      <c r="A18" s="93" t="s">
        <v>250</v>
      </c>
      <c r="B18" s="133" t="s">
        <v>251</v>
      </c>
      <c r="C18" s="93" t="s">
        <v>243</v>
      </c>
      <c r="D18" s="139">
        <f>SUM(D19:D23)</f>
        <v>472500</v>
      </c>
      <c r="E18" s="100">
        <f>SUM(E19:E23)</f>
        <v>581206.8899999999</v>
      </c>
      <c r="F18" s="135">
        <f>E18/D18*100</f>
        <v>123.00674920634917</v>
      </c>
    </row>
    <row r="19" spans="1:6">
      <c r="A19" s="92" t="s">
        <v>252</v>
      </c>
      <c r="B19" s="394" t="s">
        <v>39</v>
      </c>
      <c r="C19" s="92" t="s">
        <v>38</v>
      </c>
      <c r="D19" s="137">
        <v>0</v>
      </c>
      <c r="E19" s="94">
        <v>149.6</v>
      </c>
      <c r="F19" s="138"/>
    </row>
    <row r="20" spans="1:6">
      <c r="A20" s="92" t="s">
        <v>246</v>
      </c>
      <c r="B20" s="394" t="s">
        <v>41</v>
      </c>
      <c r="C20" s="92" t="s">
        <v>40</v>
      </c>
      <c r="D20" s="137">
        <v>400000</v>
      </c>
      <c r="E20" s="94">
        <v>509869.31</v>
      </c>
      <c r="F20" s="138">
        <f>E20/D20*100</f>
        <v>127.46732750000001</v>
      </c>
    </row>
    <row r="21" spans="1:6">
      <c r="A21" s="92" t="s">
        <v>248</v>
      </c>
      <c r="B21" s="674" t="s">
        <v>348</v>
      </c>
      <c r="C21" s="725" t="s">
        <v>59</v>
      </c>
      <c r="D21" s="137">
        <v>20000</v>
      </c>
      <c r="E21" s="94">
        <v>20000</v>
      </c>
      <c r="F21" s="138">
        <f>E21/D21*100</f>
        <v>100</v>
      </c>
    </row>
    <row r="22" spans="1:6">
      <c r="A22" s="92" t="s">
        <v>253</v>
      </c>
      <c r="B22" s="394" t="s">
        <v>43</v>
      </c>
      <c r="C22" s="92" t="s">
        <v>42</v>
      </c>
      <c r="D22" s="137">
        <v>7500</v>
      </c>
      <c r="E22" s="94">
        <v>6187.98</v>
      </c>
      <c r="F22" s="138">
        <f>E22/D22*100</f>
        <v>82.506399999999985</v>
      </c>
    </row>
    <row r="23" spans="1:6">
      <c r="A23" s="92" t="s">
        <v>257</v>
      </c>
      <c r="B23" s="394" t="s">
        <v>254</v>
      </c>
      <c r="C23" s="92">
        <v>2960</v>
      </c>
      <c r="D23" s="137">
        <v>45000</v>
      </c>
      <c r="E23" s="94">
        <v>45000</v>
      </c>
      <c r="F23" s="138">
        <f>E23/D23*100</f>
        <v>100</v>
      </c>
    </row>
    <row r="24" spans="1:6">
      <c r="A24" s="92"/>
      <c r="B24" s="136"/>
      <c r="C24" s="136"/>
      <c r="D24" s="136"/>
      <c r="E24" s="94"/>
      <c r="F24" s="138"/>
    </row>
    <row r="25" spans="1:6">
      <c r="A25" s="93" t="s">
        <v>255</v>
      </c>
      <c r="B25" s="133" t="s">
        <v>256</v>
      </c>
      <c r="C25" s="93" t="s">
        <v>243</v>
      </c>
      <c r="D25" s="139">
        <f>SUM(D26:D38)</f>
        <v>628150</v>
      </c>
      <c r="E25" s="140">
        <f>SUM(E26:E38)</f>
        <v>636592.84</v>
      </c>
      <c r="F25" s="135">
        <f t="shared" ref="F25:F38" si="0">E25/D25*100</f>
        <v>101.34408023561249</v>
      </c>
    </row>
    <row r="26" spans="1:6" ht="36">
      <c r="A26" s="92" t="s">
        <v>252</v>
      </c>
      <c r="B26" s="76" t="s">
        <v>386</v>
      </c>
      <c r="C26" s="92">
        <v>2440</v>
      </c>
      <c r="D26" s="137">
        <v>215000</v>
      </c>
      <c r="E26" s="94">
        <v>215000</v>
      </c>
      <c r="F26" s="138">
        <f t="shared" si="0"/>
        <v>100</v>
      </c>
    </row>
    <row r="27" spans="1:6">
      <c r="A27" s="92" t="s">
        <v>246</v>
      </c>
      <c r="B27" s="76" t="s">
        <v>254</v>
      </c>
      <c r="C27" s="92">
        <v>2960</v>
      </c>
      <c r="D27" s="137">
        <v>83500</v>
      </c>
      <c r="E27" s="94">
        <v>101973.84</v>
      </c>
      <c r="F27" s="138">
        <f t="shared" si="0"/>
        <v>122.12435928143712</v>
      </c>
    </row>
    <row r="28" spans="1:6">
      <c r="A28" s="92" t="s">
        <v>248</v>
      </c>
      <c r="B28" s="76" t="s">
        <v>597</v>
      </c>
      <c r="C28" s="92">
        <v>4110</v>
      </c>
      <c r="D28" s="137">
        <v>1000</v>
      </c>
      <c r="E28" s="94">
        <v>924.12</v>
      </c>
      <c r="F28" s="138">
        <f t="shared" si="0"/>
        <v>92.412000000000006</v>
      </c>
    </row>
    <row r="29" spans="1:6">
      <c r="A29" s="92" t="s">
        <v>253</v>
      </c>
      <c r="B29" s="76" t="s">
        <v>191</v>
      </c>
      <c r="C29" s="92">
        <v>4120</v>
      </c>
      <c r="D29" s="137">
        <v>150</v>
      </c>
      <c r="E29" s="94">
        <v>132.36000000000001</v>
      </c>
      <c r="F29" s="138">
        <f t="shared" si="0"/>
        <v>88.240000000000009</v>
      </c>
    </row>
    <row r="30" spans="1:6">
      <c r="A30" s="92" t="s">
        <v>257</v>
      </c>
      <c r="B30" s="76" t="s">
        <v>170</v>
      </c>
      <c r="C30" s="92">
        <v>4170</v>
      </c>
      <c r="D30" s="137">
        <v>14000</v>
      </c>
      <c r="E30" s="94">
        <v>14150</v>
      </c>
      <c r="F30" s="138">
        <f t="shared" si="0"/>
        <v>101.07142857142857</v>
      </c>
    </row>
    <row r="31" spans="1:6">
      <c r="A31" s="92" t="s">
        <v>258</v>
      </c>
      <c r="B31" s="76" t="s">
        <v>171</v>
      </c>
      <c r="C31" s="92">
        <v>4210</v>
      </c>
      <c r="D31" s="137">
        <v>8000</v>
      </c>
      <c r="E31" s="94">
        <v>6172.88</v>
      </c>
      <c r="F31" s="138">
        <f t="shared" si="0"/>
        <v>77.161000000000001</v>
      </c>
    </row>
    <row r="32" spans="1:6">
      <c r="A32" s="92" t="s">
        <v>260</v>
      </c>
      <c r="B32" s="76" t="s">
        <v>173</v>
      </c>
      <c r="C32" s="92">
        <v>4270</v>
      </c>
      <c r="D32" s="137">
        <v>4000</v>
      </c>
      <c r="E32" s="94">
        <v>870.8</v>
      </c>
      <c r="F32" s="138">
        <f t="shared" si="0"/>
        <v>21.769999999999996</v>
      </c>
    </row>
    <row r="33" spans="1:6">
      <c r="A33" s="92" t="s">
        <v>328</v>
      </c>
      <c r="B33" s="76" t="s">
        <v>259</v>
      </c>
      <c r="C33" s="92">
        <v>4300</v>
      </c>
      <c r="D33" s="137">
        <v>111700</v>
      </c>
      <c r="E33" s="94">
        <v>116173.7</v>
      </c>
      <c r="F33" s="138">
        <f t="shared" si="0"/>
        <v>104.00510295434198</v>
      </c>
    </row>
    <row r="34" spans="1:6" ht="12.75" customHeight="1">
      <c r="A34" s="92" t="s">
        <v>329</v>
      </c>
      <c r="B34" s="216" t="s">
        <v>162</v>
      </c>
      <c r="C34" s="92">
        <v>4610</v>
      </c>
      <c r="D34" s="137">
        <v>300</v>
      </c>
      <c r="E34" s="94">
        <v>0</v>
      </c>
      <c r="F34" s="138">
        <f t="shared" si="0"/>
        <v>0</v>
      </c>
    </row>
    <row r="35" spans="1:6" ht="25.5" customHeight="1">
      <c r="A35" s="92" t="s">
        <v>330</v>
      </c>
      <c r="B35" s="148" t="s">
        <v>365</v>
      </c>
      <c r="C35" s="92">
        <v>4700</v>
      </c>
      <c r="D35" s="137">
        <v>10000</v>
      </c>
      <c r="E35" s="94">
        <v>6970</v>
      </c>
      <c r="F35" s="138">
        <f t="shared" si="0"/>
        <v>69.699999999999989</v>
      </c>
    </row>
    <row r="36" spans="1:6" ht="26.25" customHeight="1">
      <c r="A36" s="92" t="s">
        <v>593</v>
      </c>
      <c r="B36" s="216" t="s">
        <v>366</v>
      </c>
      <c r="C36" s="92">
        <v>4740</v>
      </c>
      <c r="D36" s="137">
        <v>10000</v>
      </c>
      <c r="E36" s="94">
        <v>9173.18</v>
      </c>
      <c r="F36" s="138">
        <f t="shared" si="0"/>
        <v>91.731800000000007</v>
      </c>
    </row>
    <row r="37" spans="1:6" ht="24" customHeight="1">
      <c r="A37" s="92" t="s">
        <v>595</v>
      </c>
      <c r="B37" s="216" t="s">
        <v>367</v>
      </c>
      <c r="C37" s="92">
        <v>4750</v>
      </c>
      <c r="D37" s="137">
        <v>9000</v>
      </c>
      <c r="E37" s="94">
        <v>7086.36</v>
      </c>
      <c r="F37" s="138">
        <f t="shared" si="0"/>
        <v>78.737333333333325</v>
      </c>
    </row>
    <row r="38" spans="1:6" ht="24" customHeight="1">
      <c r="A38" s="92" t="s">
        <v>596</v>
      </c>
      <c r="B38" s="216" t="s">
        <v>594</v>
      </c>
      <c r="C38" s="92">
        <v>6120</v>
      </c>
      <c r="D38" s="137">
        <v>161500</v>
      </c>
      <c r="E38" s="94">
        <v>157965.6</v>
      </c>
      <c r="F38" s="138">
        <f t="shared" si="0"/>
        <v>97.811517027863786</v>
      </c>
    </row>
    <row r="39" spans="1:6">
      <c r="A39" s="92"/>
      <c r="B39" s="136"/>
      <c r="C39" s="136"/>
      <c r="D39" s="136"/>
      <c r="E39" s="94"/>
      <c r="F39" s="138"/>
    </row>
    <row r="40" spans="1:6">
      <c r="A40" s="93" t="s">
        <v>261</v>
      </c>
      <c r="B40" s="133" t="s">
        <v>262</v>
      </c>
      <c r="C40" s="93" t="s">
        <v>243</v>
      </c>
      <c r="D40" s="134">
        <v>45718</v>
      </c>
      <c r="E40" s="100">
        <f>E41+E42-E43</f>
        <v>145982.49</v>
      </c>
      <c r="F40" s="135">
        <f>E40/D40*100</f>
        <v>319.31075287632876</v>
      </c>
    </row>
    <row r="41" spans="1:6">
      <c r="A41" s="92" t="s">
        <v>244</v>
      </c>
      <c r="B41" s="136" t="s">
        <v>245</v>
      </c>
      <c r="C41" s="92" t="s">
        <v>243</v>
      </c>
      <c r="D41" s="137"/>
      <c r="E41" s="94">
        <v>143428.9</v>
      </c>
      <c r="F41" s="138"/>
    </row>
    <row r="42" spans="1:6">
      <c r="A42" s="92" t="s">
        <v>246</v>
      </c>
      <c r="B42" s="136" t="s">
        <v>247</v>
      </c>
      <c r="C42" s="92" t="s">
        <v>243</v>
      </c>
      <c r="D42" s="137">
        <v>0</v>
      </c>
      <c r="E42" s="94">
        <v>27929.81</v>
      </c>
      <c r="F42" s="138"/>
    </row>
    <row r="43" spans="1:6">
      <c r="A43" s="92" t="s">
        <v>248</v>
      </c>
      <c r="B43" s="136" t="s">
        <v>249</v>
      </c>
      <c r="C43" s="92" t="s">
        <v>243</v>
      </c>
      <c r="D43" s="137">
        <v>0</v>
      </c>
      <c r="E43" s="94">
        <v>25376.22</v>
      </c>
      <c r="F43" s="138"/>
    </row>
  </sheetData>
  <mergeCells count="7">
    <mergeCell ref="A9:F9"/>
    <mergeCell ref="I1:J1"/>
    <mergeCell ref="C2:D2"/>
    <mergeCell ref="C3:D3"/>
    <mergeCell ref="C4:D4"/>
    <mergeCell ref="A8:F8"/>
    <mergeCell ref="E1:F1"/>
  </mergeCells>
  <pageMargins left="0.7" right="0.7" top="0.75" bottom="0.75" header="0.3" footer="0.3"/>
  <pageSetup paperSize="9" firstPageNumber="62" orientation="portrait" useFirstPageNumber="1" horizontalDpi="300" verticalDpi="300" r:id="rId1"/>
  <headerFooter alignWithMargins="0">
    <oddFooter>&amp;CZałącznik Nr 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30"/>
  <sheetViews>
    <sheetView view="pageLayout" workbookViewId="0">
      <selection activeCell="D53" sqref="D53:D57"/>
    </sheetView>
  </sheetViews>
  <sheetFormatPr defaultColWidth="9" defaultRowHeight="12.75"/>
  <cols>
    <col min="1" max="1" width="4.42578125" customWidth="1"/>
    <col min="2" max="2" width="39.42578125" customWidth="1"/>
    <col min="3" max="3" width="8.42578125" customWidth="1"/>
    <col min="4" max="4" width="11.28515625" customWidth="1"/>
    <col min="5" max="5" width="11.42578125" customWidth="1"/>
    <col min="6" max="6" width="7.42578125" customWidth="1"/>
    <col min="7" max="7" width="7.85546875" customWidth="1"/>
    <col min="8" max="8" width="12" customWidth="1"/>
    <col min="9" max="9" width="13.85546875" customWidth="1"/>
    <col min="10" max="10" width="13.28515625" customWidth="1"/>
    <col min="11" max="11" width="8.42578125" customWidth="1"/>
  </cols>
  <sheetData>
    <row r="1" spans="1:6">
      <c r="A1" s="2"/>
      <c r="B1" s="2"/>
      <c r="C1" s="30"/>
      <c r="D1" s="30"/>
      <c r="E1" s="755" t="s">
        <v>503</v>
      </c>
      <c r="F1" s="755"/>
    </row>
    <row r="2" spans="1:6" hidden="1">
      <c r="A2" s="2"/>
      <c r="B2" s="2"/>
      <c r="C2" s="944" t="s">
        <v>234</v>
      </c>
      <c r="D2" s="944"/>
      <c r="E2" s="2"/>
      <c r="F2" s="2"/>
    </row>
    <row r="3" spans="1:6" hidden="1">
      <c r="A3" s="2"/>
      <c r="B3" s="2"/>
      <c r="C3" s="944" t="s">
        <v>235</v>
      </c>
      <c r="D3" s="944"/>
      <c r="E3" s="2"/>
      <c r="F3" s="2"/>
    </row>
    <row r="4" spans="1:6" hidden="1">
      <c r="A4" s="2"/>
      <c r="B4" s="2"/>
      <c r="C4" s="944" t="s">
        <v>236</v>
      </c>
      <c r="D4" s="944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 ht="31.5" customHeight="1">
      <c r="A8" s="945" t="s">
        <v>508</v>
      </c>
      <c r="B8" s="945"/>
      <c r="C8" s="945"/>
      <c r="D8" s="945"/>
      <c r="E8" s="945"/>
      <c r="F8" s="945"/>
    </row>
    <row r="9" spans="1:6" ht="15.75">
      <c r="A9" s="801" t="s">
        <v>598</v>
      </c>
      <c r="B9" s="801"/>
      <c r="C9" s="801"/>
      <c r="D9" s="801"/>
      <c r="E9" s="801"/>
      <c r="F9" s="801"/>
    </row>
    <row r="10" spans="1:6">
      <c r="A10" s="2"/>
      <c r="B10" s="2"/>
      <c r="C10" s="2"/>
      <c r="D10" s="2"/>
      <c r="E10" s="5" t="s">
        <v>6</v>
      </c>
      <c r="F10" s="2"/>
    </row>
    <row r="11" spans="1:6">
      <c r="A11" s="65" t="s">
        <v>238</v>
      </c>
      <c r="B11" s="65" t="s">
        <v>156</v>
      </c>
      <c r="C11" s="65" t="s">
        <v>239</v>
      </c>
      <c r="D11" s="65" t="s">
        <v>240</v>
      </c>
      <c r="E11" s="132" t="s">
        <v>12</v>
      </c>
      <c r="F11" s="132" t="s">
        <v>13</v>
      </c>
    </row>
    <row r="12" spans="1:6">
      <c r="A12" s="126">
        <v>1</v>
      </c>
      <c r="B12" s="126">
        <v>2</v>
      </c>
      <c r="C12" s="126">
        <v>3</v>
      </c>
      <c r="D12" s="126">
        <v>4</v>
      </c>
      <c r="E12" s="126">
        <v>5</v>
      </c>
      <c r="F12" s="126">
        <v>6</v>
      </c>
    </row>
    <row r="13" spans="1:6" s="4" customFormat="1">
      <c r="A13" s="93" t="s">
        <v>241</v>
      </c>
      <c r="B13" s="133" t="s">
        <v>242</v>
      </c>
      <c r="C13" s="93" t="s">
        <v>243</v>
      </c>
      <c r="D13" s="134">
        <v>2671</v>
      </c>
      <c r="E13" s="100">
        <f>E14+E15-E16</f>
        <v>2671.1699999999996</v>
      </c>
      <c r="F13" s="141">
        <f>E13/D13*100</f>
        <v>100.00636465743167</v>
      </c>
    </row>
    <row r="14" spans="1:6" s="4" customFormat="1">
      <c r="A14" s="92" t="s">
        <v>244</v>
      </c>
      <c r="B14" s="136" t="s">
        <v>245</v>
      </c>
      <c r="C14" s="92" t="s">
        <v>243</v>
      </c>
      <c r="D14" s="137"/>
      <c r="E14" s="94">
        <v>2733.43</v>
      </c>
      <c r="F14" s="142"/>
    </row>
    <row r="15" spans="1:6" s="4" customFormat="1">
      <c r="A15" s="92" t="s">
        <v>246</v>
      </c>
      <c r="B15" s="136" t="s">
        <v>247</v>
      </c>
      <c r="C15" s="92" t="s">
        <v>243</v>
      </c>
      <c r="D15" s="136"/>
      <c r="E15" s="94"/>
      <c r="F15" s="143"/>
    </row>
    <row r="16" spans="1:6" s="4" customFormat="1">
      <c r="A16" s="92" t="s">
        <v>248</v>
      </c>
      <c r="B16" s="136" t="s">
        <v>249</v>
      </c>
      <c r="C16" s="92" t="s">
        <v>243</v>
      </c>
      <c r="D16" s="136"/>
      <c r="E16" s="94">
        <v>62.26</v>
      </c>
      <c r="F16" s="143"/>
    </row>
    <row r="17" spans="1:8" s="4" customFormat="1">
      <c r="A17" s="92"/>
      <c r="B17" s="136"/>
      <c r="C17" s="92"/>
      <c r="D17" s="136"/>
      <c r="E17" s="94"/>
      <c r="F17" s="143"/>
    </row>
    <row r="18" spans="1:8" s="4" customFormat="1">
      <c r="A18" s="93" t="s">
        <v>250</v>
      </c>
      <c r="B18" s="133" t="s">
        <v>251</v>
      </c>
      <c r="C18" s="93" t="s">
        <v>243</v>
      </c>
      <c r="D18" s="139">
        <f>D19</f>
        <v>120000</v>
      </c>
      <c r="E18" s="100">
        <f>E19</f>
        <v>179118</v>
      </c>
      <c r="F18" s="141">
        <f>E18/D18*100</f>
        <v>149.26500000000001</v>
      </c>
    </row>
    <row r="19" spans="1:8" s="4" customFormat="1">
      <c r="A19" s="92" t="s">
        <v>252</v>
      </c>
      <c r="B19" s="136" t="s">
        <v>39</v>
      </c>
      <c r="C19" s="92" t="s">
        <v>38</v>
      </c>
      <c r="D19" s="137">
        <v>120000</v>
      </c>
      <c r="E19" s="94">
        <v>179118</v>
      </c>
      <c r="F19" s="142">
        <f>E19/D19*100</f>
        <v>149.26500000000001</v>
      </c>
      <c r="H19" s="131"/>
    </row>
    <row r="20" spans="1:8" s="4" customFormat="1">
      <c r="A20" s="92"/>
      <c r="B20" s="136"/>
      <c r="C20" s="136"/>
      <c r="D20" s="136"/>
      <c r="E20" s="94"/>
      <c r="F20" s="143"/>
    </row>
    <row r="21" spans="1:8" s="4" customFormat="1">
      <c r="A21" s="93" t="s">
        <v>255</v>
      </c>
      <c r="B21" s="133" t="s">
        <v>256</v>
      </c>
      <c r="C21" s="93" t="s">
        <v>243</v>
      </c>
      <c r="D21" s="139">
        <f>SUM(D22:D24)</f>
        <v>120000</v>
      </c>
      <c r="E21" s="100">
        <f>SUM(E22:E24)</f>
        <v>44612.95</v>
      </c>
      <c r="F21" s="141">
        <f>E21/D21*100</f>
        <v>37.177458333333327</v>
      </c>
    </row>
    <row r="22" spans="1:8" s="4" customFormat="1" ht="36">
      <c r="A22" s="92" t="s">
        <v>252</v>
      </c>
      <c r="B22" s="76" t="s">
        <v>264</v>
      </c>
      <c r="C22" s="92">
        <v>2440</v>
      </c>
      <c r="D22" s="137">
        <v>50000</v>
      </c>
      <c r="E22" s="94">
        <v>35000</v>
      </c>
      <c r="F22" s="142">
        <f>E22/D22*100</f>
        <v>70</v>
      </c>
    </row>
    <row r="23" spans="1:8" s="4" customFormat="1">
      <c r="A23" s="92" t="s">
        <v>246</v>
      </c>
      <c r="B23" s="136" t="s">
        <v>171</v>
      </c>
      <c r="C23" s="92">
        <v>4210</v>
      </c>
      <c r="D23" s="137">
        <v>5000</v>
      </c>
      <c r="E23" s="94">
        <v>345.6</v>
      </c>
      <c r="F23" s="142">
        <f>E23/D23*100</f>
        <v>6.9119999999999999</v>
      </c>
    </row>
    <row r="24" spans="1:8" s="4" customFormat="1">
      <c r="A24" s="92" t="s">
        <v>248</v>
      </c>
      <c r="B24" s="136" t="s">
        <v>161</v>
      </c>
      <c r="C24" s="92">
        <v>4300</v>
      </c>
      <c r="D24" s="137">
        <v>65000</v>
      </c>
      <c r="E24" s="94">
        <v>9267.35</v>
      </c>
      <c r="F24" s="142">
        <f>E24/D24*100</f>
        <v>14.257461538461538</v>
      </c>
    </row>
    <row r="25" spans="1:8" s="4" customFormat="1">
      <c r="A25" s="92"/>
      <c r="B25" s="136"/>
      <c r="C25" s="136"/>
      <c r="D25" s="136"/>
      <c r="E25" s="94"/>
      <c r="F25" s="143"/>
    </row>
    <row r="26" spans="1:8" s="4" customFormat="1">
      <c r="A26" s="93" t="s">
        <v>261</v>
      </c>
      <c r="B26" s="133" t="s">
        <v>262</v>
      </c>
      <c r="C26" s="93" t="s">
        <v>243</v>
      </c>
      <c r="D26" s="134">
        <v>2671</v>
      </c>
      <c r="E26" s="100">
        <f>E27+E28-E29</f>
        <v>137176.21999999997</v>
      </c>
      <c r="F26" s="141">
        <f>E26/D26*100</f>
        <v>5135.7626357169584</v>
      </c>
    </row>
    <row r="27" spans="1:8" s="4" customFormat="1">
      <c r="A27" s="92" t="s">
        <v>244</v>
      </c>
      <c r="B27" s="136" t="s">
        <v>245</v>
      </c>
      <c r="C27" s="92" t="s">
        <v>243</v>
      </c>
      <c r="D27" s="137"/>
      <c r="E27" s="94">
        <v>136916.74</v>
      </c>
      <c r="F27" s="142"/>
    </row>
    <row r="28" spans="1:8" s="4" customFormat="1">
      <c r="A28" s="92" t="s">
        <v>246</v>
      </c>
      <c r="B28" s="136" t="s">
        <v>247</v>
      </c>
      <c r="C28" s="92" t="s">
        <v>243</v>
      </c>
      <c r="D28" s="136"/>
      <c r="E28" s="94">
        <v>275.55</v>
      </c>
      <c r="F28" s="136"/>
    </row>
    <row r="29" spans="1:8" s="4" customFormat="1">
      <c r="A29" s="92" t="s">
        <v>248</v>
      </c>
      <c r="B29" s="136" t="s">
        <v>249</v>
      </c>
      <c r="C29" s="92" t="s">
        <v>243</v>
      </c>
      <c r="D29" s="136"/>
      <c r="E29" s="94">
        <v>16.07</v>
      </c>
      <c r="F29" s="136"/>
    </row>
    <row r="30" spans="1:8" s="4" customFormat="1"/>
  </sheetData>
  <mergeCells count="6">
    <mergeCell ref="A9:F9"/>
    <mergeCell ref="E1:F1"/>
    <mergeCell ref="C2:D2"/>
    <mergeCell ref="C3:D3"/>
    <mergeCell ref="C4:D4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63" orientation="portrait" useFirstPageNumber="1" horizontalDpi="300" verticalDpi="300" r:id="rId1"/>
  <headerFooter alignWithMargins="0">
    <oddFooter>&amp;CZałącznik Nr 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G33"/>
  <sheetViews>
    <sheetView view="pageLayout" workbookViewId="0">
      <selection activeCell="B39" sqref="B39"/>
    </sheetView>
  </sheetViews>
  <sheetFormatPr defaultColWidth="9" defaultRowHeight="12.75"/>
  <cols>
    <col min="1" max="1" width="3.7109375" customWidth="1"/>
    <col min="2" max="2" width="34.28515625" customWidth="1"/>
    <col min="3" max="3" width="19.7109375" customWidth="1"/>
    <col min="4" max="4" width="20.7109375" customWidth="1"/>
    <col min="5" max="5" width="13.140625" customWidth="1"/>
    <col min="8" max="8" width="30.140625" customWidth="1"/>
    <col min="9" max="9" width="13.140625" customWidth="1"/>
  </cols>
  <sheetData>
    <row r="1" spans="1:7">
      <c r="A1" s="2"/>
      <c r="B1" s="2"/>
      <c r="C1" s="2"/>
      <c r="D1" s="683" t="s">
        <v>617</v>
      </c>
      <c r="G1" s="20"/>
    </row>
    <row r="2" spans="1:7">
      <c r="A2" s="2"/>
      <c r="B2" s="2"/>
      <c r="C2" s="2"/>
      <c r="D2" s="33"/>
      <c r="G2" s="20"/>
    </row>
    <row r="3" spans="1:7">
      <c r="A3" s="2"/>
      <c r="B3" s="2"/>
      <c r="C3" s="2"/>
      <c r="D3" s="33"/>
      <c r="G3" s="20"/>
    </row>
    <row r="4" spans="1:7" ht="15.75">
      <c r="A4" s="2"/>
      <c r="B4" s="756" t="s">
        <v>266</v>
      </c>
      <c r="C4" s="756"/>
      <c r="D4" s="756"/>
      <c r="G4" s="20"/>
    </row>
    <row r="5" spans="1:7" ht="15.75">
      <c r="A5" s="2"/>
      <c r="B5" s="756" t="s">
        <v>267</v>
      </c>
      <c r="C5" s="756"/>
      <c r="D5" s="756"/>
    </row>
    <row r="6" spans="1:7" ht="15.75">
      <c r="A6" s="2"/>
      <c r="B6" s="756" t="s">
        <v>268</v>
      </c>
      <c r="C6" s="756"/>
      <c r="D6" s="756"/>
    </row>
    <row r="7" spans="1:7" ht="15.75">
      <c r="A7" s="2"/>
      <c r="B7" s="756" t="s">
        <v>600</v>
      </c>
      <c r="C7" s="756"/>
      <c r="D7" s="756"/>
    </row>
    <row r="8" spans="1:7">
      <c r="A8" s="2"/>
      <c r="B8" s="2"/>
      <c r="C8" s="2"/>
      <c r="D8" s="5" t="s">
        <v>6</v>
      </c>
    </row>
    <row r="9" spans="1:7">
      <c r="A9" s="34"/>
      <c r="B9" s="34"/>
      <c r="C9" s="34"/>
      <c r="D9" s="34"/>
    </row>
    <row r="10" spans="1:7">
      <c r="A10" s="35"/>
      <c r="B10" s="35" t="s">
        <v>269</v>
      </c>
      <c r="C10" s="35" t="s">
        <v>11</v>
      </c>
      <c r="D10" s="35" t="s">
        <v>12</v>
      </c>
    </row>
    <row r="11" spans="1:7">
      <c r="A11" s="35"/>
      <c r="B11" s="36"/>
      <c r="C11" s="36"/>
      <c r="D11" s="36"/>
    </row>
    <row r="12" spans="1:7">
      <c r="A12" s="34"/>
      <c r="B12" s="34"/>
      <c r="C12" s="37"/>
      <c r="D12" s="34"/>
    </row>
    <row r="13" spans="1:7">
      <c r="A13" s="35" t="s">
        <v>270</v>
      </c>
      <c r="B13" s="35" t="s">
        <v>637</v>
      </c>
      <c r="C13" s="726">
        <f>'zał 1'!E228</f>
        <v>49444856.480000004</v>
      </c>
      <c r="D13" s="39">
        <f>'zał 1'!F228+'zał 1'!G228</f>
        <v>49079911.11999999</v>
      </c>
    </row>
    <row r="14" spans="1:7">
      <c r="A14" s="36"/>
      <c r="B14" s="36"/>
      <c r="C14" s="727"/>
      <c r="D14" s="40"/>
    </row>
    <row r="15" spans="1:7">
      <c r="A15" s="35"/>
      <c r="B15" s="34"/>
      <c r="C15" s="728"/>
      <c r="D15" s="41"/>
    </row>
    <row r="16" spans="1:7">
      <c r="A16" s="35" t="s">
        <v>271</v>
      </c>
      <c r="B16" s="35" t="s">
        <v>638</v>
      </c>
      <c r="C16" s="726">
        <f>'zał 6'!D92</f>
        <v>53242098.479999997</v>
      </c>
      <c r="D16" s="39">
        <f>'zał 6'!E92</f>
        <v>52006215.719999999</v>
      </c>
    </row>
    <row r="17" spans="1:4">
      <c r="A17" s="35"/>
      <c r="B17" s="36"/>
      <c r="C17" s="42"/>
      <c r="D17" s="43"/>
    </row>
    <row r="18" spans="1:4">
      <c r="A18" s="34"/>
      <c r="B18" s="34"/>
      <c r="C18" s="37"/>
      <c r="D18" s="44"/>
    </row>
    <row r="19" spans="1:4">
      <c r="A19" s="45" t="s">
        <v>272</v>
      </c>
      <c r="B19" s="45" t="s">
        <v>273</v>
      </c>
      <c r="C19" s="46">
        <f>C13-C16</f>
        <v>-3797241.9999999925</v>
      </c>
      <c r="D19" s="47">
        <f>D13-D16</f>
        <v>-2926304.6000000089</v>
      </c>
    </row>
    <row r="20" spans="1:4">
      <c r="A20" s="36"/>
      <c r="B20" s="36"/>
      <c r="C20" s="42"/>
      <c r="D20" s="43"/>
    </row>
    <row r="21" spans="1:4">
      <c r="A21" s="35"/>
      <c r="B21" s="34"/>
      <c r="C21" s="37"/>
      <c r="D21" s="44"/>
    </row>
    <row r="22" spans="1:4">
      <c r="A22" s="45" t="s">
        <v>274</v>
      </c>
      <c r="B22" s="48" t="s">
        <v>275</v>
      </c>
      <c r="C22" s="49">
        <f>C24-C29</f>
        <v>3847691</v>
      </c>
      <c r="D22" s="50">
        <f>D24-D29</f>
        <v>3836849.26</v>
      </c>
    </row>
    <row r="23" spans="1:4">
      <c r="A23" s="35"/>
      <c r="B23" s="51"/>
      <c r="C23" s="42"/>
      <c r="D23" s="52"/>
    </row>
    <row r="24" spans="1:4">
      <c r="A24" s="34" t="s">
        <v>276</v>
      </c>
      <c r="B24" s="53" t="s">
        <v>277</v>
      </c>
      <c r="C24" s="54">
        <f>C26+C27</f>
        <v>5047691</v>
      </c>
      <c r="D24" s="55">
        <f>D26+D27</f>
        <v>5036849.26</v>
      </c>
    </row>
    <row r="25" spans="1:4" ht="13.5" customHeight="1">
      <c r="A25" s="35"/>
      <c r="B25" s="53" t="s">
        <v>278</v>
      </c>
      <c r="C25" s="54"/>
      <c r="D25" s="56">
        <v>0</v>
      </c>
    </row>
    <row r="26" spans="1:4">
      <c r="A26" s="35"/>
      <c r="B26" s="729" t="s">
        <v>599</v>
      </c>
      <c r="C26" s="54">
        <v>1733715</v>
      </c>
      <c r="D26" s="56">
        <v>1733714.9</v>
      </c>
    </row>
    <row r="27" spans="1:4">
      <c r="A27" s="35"/>
      <c r="B27" s="57" t="s">
        <v>279</v>
      </c>
      <c r="C27" s="54">
        <v>3313976</v>
      </c>
      <c r="D27" s="56">
        <v>3303134.36</v>
      </c>
    </row>
    <row r="28" spans="1:4">
      <c r="A28" s="36"/>
      <c r="B28" s="35"/>
      <c r="C28" s="38"/>
      <c r="D28" s="58"/>
    </row>
    <row r="29" spans="1:4">
      <c r="A29" s="35" t="s">
        <v>280</v>
      </c>
      <c r="B29" s="59" t="s">
        <v>281</v>
      </c>
      <c r="C29" s="60">
        <f>C31+C32</f>
        <v>1200000</v>
      </c>
      <c r="D29" s="55">
        <f>D31+D32</f>
        <v>1200000</v>
      </c>
    </row>
    <row r="30" spans="1:4">
      <c r="A30" s="35"/>
      <c r="B30" s="57" t="s">
        <v>278</v>
      </c>
      <c r="C30" s="61"/>
      <c r="D30" s="56"/>
    </row>
    <row r="31" spans="1:4">
      <c r="A31" s="35"/>
      <c r="B31" s="57" t="s">
        <v>282</v>
      </c>
      <c r="C31" s="61">
        <v>700000</v>
      </c>
      <c r="D31" s="56">
        <v>700000</v>
      </c>
    </row>
    <row r="32" spans="1:4">
      <c r="A32" s="35"/>
      <c r="B32" s="57" t="s">
        <v>283</v>
      </c>
      <c r="C32" s="61">
        <v>500000</v>
      </c>
      <c r="D32" s="56">
        <v>500000</v>
      </c>
    </row>
    <row r="33" spans="1:4">
      <c r="A33" s="36"/>
      <c r="B33" s="62"/>
      <c r="C33" s="63"/>
      <c r="D33" s="36"/>
    </row>
  </sheetData>
  <mergeCells count="4">
    <mergeCell ref="B4:D4"/>
    <mergeCell ref="B5:D5"/>
    <mergeCell ref="B6:D6"/>
    <mergeCell ref="B7:D7"/>
  </mergeCells>
  <pageMargins left="0.7" right="0.7" top="0.75" bottom="0.75" header="0.3" footer="0.3"/>
  <pageSetup paperSize="9" firstPageNumber="64" orientation="portrait" useFirstPageNumber="1" horizontalDpi="300" verticalDpi="300" r:id="rId1"/>
  <headerFooter alignWithMargins="0">
    <oddFooter>&amp;CZałącznik Nr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F22"/>
  <sheetViews>
    <sheetView view="pageLayout" workbookViewId="0">
      <selection activeCell="F29" sqref="F29"/>
    </sheetView>
  </sheetViews>
  <sheetFormatPr defaultColWidth="9" defaultRowHeight="12.75"/>
  <cols>
    <col min="4" max="4" width="19.7109375" customWidth="1"/>
    <col min="5" max="5" width="20.28515625" customWidth="1"/>
    <col min="6" max="6" width="16.7109375" customWidth="1"/>
  </cols>
  <sheetData>
    <row r="1" spans="1:6">
      <c r="A1" s="2"/>
      <c r="B1" s="2"/>
      <c r="C1" s="2"/>
      <c r="D1" s="2"/>
      <c r="E1" s="939" t="s">
        <v>504</v>
      </c>
      <c r="F1" s="939"/>
    </row>
    <row r="2" spans="1:6">
      <c r="A2" s="2"/>
      <c r="B2" s="2"/>
      <c r="C2" s="2"/>
      <c r="D2" s="2"/>
      <c r="E2" s="2"/>
      <c r="F2" s="2"/>
    </row>
    <row r="3" spans="1:6" ht="15.75">
      <c r="A3" s="756" t="s">
        <v>601</v>
      </c>
      <c r="B3" s="756"/>
      <c r="C3" s="756"/>
      <c r="D3" s="756"/>
      <c r="E3" s="756"/>
      <c r="F3" s="756"/>
    </row>
    <row r="4" spans="1:6">
      <c r="A4" s="64"/>
      <c r="B4" s="64"/>
      <c r="C4" s="64"/>
      <c r="D4" s="64"/>
      <c r="E4" s="64"/>
      <c r="F4" s="64"/>
    </row>
    <row r="5" spans="1:6" ht="48" customHeight="1">
      <c r="A5" s="949" t="s">
        <v>284</v>
      </c>
      <c r="B5" s="949"/>
      <c r="C5" s="949"/>
      <c r="D5" s="949"/>
      <c r="E5" s="949"/>
      <c r="F5" s="949"/>
    </row>
    <row r="6" spans="1:6">
      <c r="A6" s="2"/>
      <c r="B6" s="2"/>
      <c r="C6" s="2"/>
      <c r="D6" s="2"/>
      <c r="E6" s="2"/>
      <c r="F6" s="2"/>
    </row>
    <row r="7" spans="1:6" ht="32.25" customHeight="1">
      <c r="A7" s="950" t="s">
        <v>7</v>
      </c>
      <c r="B7" s="950" t="s">
        <v>152</v>
      </c>
      <c r="C7" s="950" t="s">
        <v>285</v>
      </c>
      <c r="D7" s="950" t="s">
        <v>11</v>
      </c>
      <c r="E7" s="950" t="s">
        <v>12</v>
      </c>
      <c r="F7" s="950" t="s">
        <v>286</v>
      </c>
    </row>
    <row r="8" spans="1:6" ht="18" customHeight="1">
      <c r="A8" s="950"/>
      <c r="B8" s="950"/>
      <c r="C8" s="950"/>
      <c r="D8" s="950"/>
      <c r="E8" s="950"/>
      <c r="F8" s="950"/>
    </row>
    <row r="9" spans="1:6" s="18" customFormat="1" ht="10.5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</row>
    <row r="10" spans="1:6" s="144" customFormat="1" ht="15">
      <c r="A10" s="296">
        <v>700</v>
      </c>
      <c r="B10" s="296">
        <v>70005</v>
      </c>
      <c r="C10" s="296">
        <v>2110</v>
      </c>
      <c r="D10" s="730">
        <v>16650</v>
      </c>
      <c r="E10" s="451">
        <v>16629.78</v>
      </c>
      <c r="F10" s="451">
        <v>20.22</v>
      </c>
    </row>
    <row r="11" spans="1:6" ht="15">
      <c r="A11" s="296">
        <v>710</v>
      </c>
      <c r="B11" s="296">
        <v>71015</v>
      </c>
      <c r="C11" s="296">
        <v>2110</v>
      </c>
      <c r="D11" s="731">
        <v>272167</v>
      </c>
      <c r="E11" s="70">
        <v>271955.08</v>
      </c>
      <c r="F11" s="70">
        <f>D11-E11</f>
        <v>211.9199999999837</v>
      </c>
    </row>
    <row r="12" spans="1:6" ht="15">
      <c r="A12" s="296">
        <v>750</v>
      </c>
      <c r="B12" s="296">
        <v>75045</v>
      </c>
      <c r="C12" s="296">
        <v>2110</v>
      </c>
      <c r="D12" s="731">
        <v>16378</v>
      </c>
      <c r="E12" s="70">
        <v>16376.19</v>
      </c>
      <c r="F12" s="70">
        <f t="shared" ref="F12:F19" si="0">D12-E12</f>
        <v>1.8099999999994907</v>
      </c>
    </row>
    <row r="13" spans="1:6" ht="15">
      <c r="A13" s="296">
        <v>754</v>
      </c>
      <c r="B13" s="296">
        <v>75411</v>
      </c>
      <c r="C13" s="296">
        <v>2110</v>
      </c>
      <c r="D13" s="731">
        <v>2920531</v>
      </c>
      <c r="E13" s="70">
        <v>2920521.86</v>
      </c>
      <c r="F13" s="70">
        <f t="shared" si="0"/>
        <v>9.1400000001303852</v>
      </c>
    </row>
    <row r="14" spans="1:6" ht="15">
      <c r="A14" s="296">
        <v>801</v>
      </c>
      <c r="B14" s="296">
        <v>80195</v>
      </c>
      <c r="C14" s="296">
        <v>2130</v>
      </c>
      <c r="D14" s="731">
        <v>9931.68</v>
      </c>
      <c r="E14" s="70">
        <v>9831.82</v>
      </c>
      <c r="F14" s="70">
        <f t="shared" si="0"/>
        <v>99.860000000000582</v>
      </c>
    </row>
    <row r="15" spans="1:6" ht="15">
      <c r="A15" s="296">
        <v>851</v>
      </c>
      <c r="B15" s="296">
        <v>85156</v>
      </c>
      <c r="C15" s="296">
        <v>2110</v>
      </c>
      <c r="D15" s="731">
        <v>2362000</v>
      </c>
      <c r="E15" s="70">
        <v>2358263</v>
      </c>
      <c r="F15" s="70">
        <f t="shared" si="0"/>
        <v>3737</v>
      </c>
    </row>
    <row r="16" spans="1:6" ht="15">
      <c r="A16" s="296">
        <v>852</v>
      </c>
      <c r="B16" s="296">
        <v>85203</v>
      </c>
      <c r="C16" s="296">
        <v>2110</v>
      </c>
      <c r="D16" s="731">
        <v>702434</v>
      </c>
      <c r="E16" s="70">
        <v>702343.19</v>
      </c>
      <c r="F16" s="70">
        <f t="shared" si="0"/>
        <v>90.810000000055879</v>
      </c>
    </row>
    <row r="17" spans="1:6" ht="15">
      <c r="A17" s="296">
        <v>852</v>
      </c>
      <c r="B17" s="296">
        <v>85218</v>
      </c>
      <c r="C17" s="296">
        <v>2130</v>
      </c>
      <c r="D17" s="731">
        <v>5859</v>
      </c>
      <c r="E17" s="70">
        <v>4883.34</v>
      </c>
      <c r="F17" s="70">
        <f t="shared" si="0"/>
        <v>975.65999999999985</v>
      </c>
    </row>
    <row r="18" spans="1:6" ht="15">
      <c r="A18" s="296">
        <v>853</v>
      </c>
      <c r="B18" s="296">
        <v>85321</v>
      </c>
      <c r="C18" s="296">
        <v>2110</v>
      </c>
      <c r="D18" s="731">
        <v>81000</v>
      </c>
      <c r="E18" s="70">
        <v>80947.03</v>
      </c>
      <c r="F18" s="70">
        <f t="shared" si="0"/>
        <v>52.970000000001164</v>
      </c>
    </row>
    <row r="19" spans="1:6" ht="15">
      <c r="A19" s="296">
        <v>853</v>
      </c>
      <c r="B19" s="296">
        <v>85334</v>
      </c>
      <c r="C19" s="296">
        <v>2110</v>
      </c>
      <c r="D19" s="731">
        <v>41663</v>
      </c>
      <c r="E19" s="70">
        <v>41662.6</v>
      </c>
      <c r="F19" s="70">
        <f t="shared" si="0"/>
        <v>0.40000000000145519</v>
      </c>
    </row>
    <row r="20" spans="1:6" ht="14.25">
      <c r="A20" s="946" t="s">
        <v>233</v>
      </c>
      <c r="B20" s="947"/>
      <c r="C20" s="947"/>
      <c r="D20" s="947"/>
      <c r="E20" s="948"/>
      <c r="F20" s="80">
        <f>SUM(F10:F19)</f>
        <v>5199.7900000001728</v>
      </c>
    </row>
    <row r="21" spans="1:6">
      <c r="A21" s="15"/>
      <c r="B21" s="15"/>
      <c r="C21" s="15"/>
      <c r="D21" s="38"/>
      <c r="E21" s="38"/>
      <c r="F21" s="38"/>
    </row>
    <row r="22" spans="1:6">
      <c r="A22" s="2"/>
      <c r="B22" s="2"/>
      <c r="C22" s="2"/>
      <c r="D22" s="2"/>
      <c r="E22" s="2"/>
      <c r="F22" s="2"/>
    </row>
  </sheetData>
  <mergeCells count="10">
    <mergeCell ref="A20:E20"/>
    <mergeCell ref="E1:F1"/>
    <mergeCell ref="A3:F3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firstPageNumber="67" orientation="portrait" useFirstPageNumber="1" horizontalDpi="300" verticalDpi="300" r:id="rId1"/>
  <headerFooter alignWithMargins="0">
    <oddFooter>&amp;CZałącznik nr 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Y31"/>
  <sheetViews>
    <sheetView tabSelected="1" view="pageLayout" workbookViewId="0">
      <selection activeCell="K1" sqref="K1:L1"/>
    </sheetView>
  </sheetViews>
  <sheetFormatPr defaultColWidth="9" defaultRowHeight="11.25"/>
  <cols>
    <col min="1" max="1" width="31.42578125" style="7" customWidth="1"/>
    <col min="2" max="2" width="11" style="7" customWidth="1"/>
    <col min="3" max="3" width="8.85546875" style="7" customWidth="1"/>
    <col min="4" max="4" width="9.85546875" style="7" customWidth="1"/>
    <col min="5" max="5" width="8.85546875" style="7" customWidth="1"/>
    <col min="6" max="6" width="10.28515625" style="7" customWidth="1"/>
    <col min="7" max="8" width="9.7109375" style="7" customWidth="1"/>
    <col min="9" max="9" width="9" style="7" customWidth="1"/>
    <col min="10" max="10" width="10.85546875" style="7" customWidth="1"/>
    <col min="11" max="11" width="8.5703125" style="7" customWidth="1"/>
    <col min="12" max="12" width="10.85546875" style="7" customWidth="1"/>
    <col min="13" max="13" width="37.5703125" style="6" customWidth="1"/>
    <col min="14" max="14" width="10" style="6" customWidth="1"/>
    <col min="15" max="15" width="9.140625" style="6" customWidth="1"/>
    <col min="16" max="16" width="8.7109375" style="6" customWidth="1"/>
    <col min="17" max="17" width="10.140625" style="7" customWidth="1"/>
    <col min="18" max="18" width="10.7109375" style="7" customWidth="1"/>
    <col min="19" max="19" width="10.42578125" style="7" customWidth="1"/>
    <col min="20" max="21" width="9.85546875" style="7" customWidth="1"/>
    <col min="22" max="22" width="10.85546875" style="225" customWidth="1"/>
    <col min="23" max="23" width="0" style="7" hidden="1" customWidth="1"/>
    <col min="24" max="24" width="10.42578125" style="6" customWidth="1"/>
    <col min="25" max="25" width="11.85546875" style="6" customWidth="1"/>
    <col min="26" max="16384" width="9" style="7"/>
  </cols>
  <sheetData>
    <row r="1" spans="1:25" ht="12.7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786" t="s">
        <v>624</v>
      </c>
      <c r="L1" s="786"/>
      <c r="M1" s="153"/>
      <c r="N1" s="152"/>
      <c r="O1" s="152"/>
      <c r="P1" s="152"/>
      <c r="Q1" s="152"/>
      <c r="R1" s="152"/>
      <c r="S1" s="152"/>
      <c r="T1" s="152"/>
      <c r="U1" s="152"/>
      <c r="V1" s="222"/>
    </row>
    <row r="2" spans="1:25" ht="15.75">
      <c r="A2" s="953" t="s">
        <v>388</v>
      </c>
      <c r="B2" s="953"/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154"/>
      <c r="N2" s="154"/>
      <c r="O2" s="154"/>
      <c r="P2" s="154"/>
      <c r="Q2" s="154"/>
      <c r="R2" s="154"/>
      <c r="S2" s="154"/>
      <c r="T2" s="154"/>
      <c r="U2" s="154"/>
      <c r="V2" s="224"/>
    </row>
    <row r="3" spans="1:25" ht="6" customHeight="1">
      <c r="A3" s="951"/>
      <c r="B3" s="951"/>
      <c r="C3" s="152"/>
      <c r="D3" s="152"/>
      <c r="E3" s="152"/>
      <c r="F3" s="152"/>
      <c r="G3" s="152"/>
      <c r="H3" s="152"/>
      <c r="I3" s="152"/>
      <c r="J3" s="152"/>
      <c r="K3" s="152"/>
      <c r="L3" s="153"/>
      <c r="M3" s="951"/>
      <c r="N3" s="951"/>
      <c r="O3" s="152"/>
      <c r="P3" s="152"/>
      <c r="Q3" s="152"/>
      <c r="R3" s="152"/>
      <c r="S3" s="152"/>
      <c r="T3" s="152"/>
      <c r="U3" s="153"/>
      <c r="V3" s="223"/>
    </row>
    <row r="4" spans="1:25" ht="59.25" customHeight="1">
      <c r="A4" s="478" t="s">
        <v>605</v>
      </c>
      <c r="B4" s="399" t="s">
        <v>389</v>
      </c>
      <c r="C4" s="399" t="s">
        <v>390</v>
      </c>
      <c r="D4" s="399" t="s">
        <v>391</v>
      </c>
      <c r="E4" s="399" t="s">
        <v>291</v>
      </c>
      <c r="F4" s="399" t="s">
        <v>292</v>
      </c>
      <c r="G4" s="399" t="s">
        <v>602</v>
      </c>
      <c r="H4" s="399" t="s">
        <v>603</v>
      </c>
      <c r="I4" s="399" t="s">
        <v>392</v>
      </c>
      <c r="J4" s="399" t="s">
        <v>509</v>
      </c>
      <c r="K4" s="399" t="s">
        <v>294</v>
      </c>
      <c r="L4" s="734" t="s">
        <v>295</v>
      </c>
      <c r="M4" s="478" t="s">
        <v>606</v>
      </c>
      <c r="N4" s="399" t="s">
        <v>393</v>
      </c>
      <c r="O4" s="399" t="s">
        <v>297</v>
      </c>
      <c r="P4" s="399" t="s">
        <v>298</v>
      </c>
      <c r="Q4" s="399" t="s">
        <v>512</v>
      </c>
      <c r="R4" s="399" t="s">
        <v>511</v>
      </c>
      <c r="S4" s="399" t="s">
        <v>300</v>
      </c>
      <c r="T4" s="399" t="s">
        <v>394</v>
      </c>
      <c r="U4" s="734" t="s">
        <v>302</v>
      </c>
      <c r="V4" s="410" t="s">
        <v>395</v>
      </c>
    </row>
    <row r="5" spans="1:25">
      <c r="A5" s="331" t="s">
        <v>303</v>
      </c>
      <c r="B5" s="401">
        <v>1035051.53</v>
      </c>
      <c r="C5" s="401">
        <v>547835</v>
      </c>
      <c r="D5" s="401"/>
      <c r="E5" s="401"/>
      <c r="F5" s="401"/>
      <c r="G5" s="401"/>
      <c r="H5" s="401"/>
      <c r="I5" s="401">
        <v>7390</v>
      </c>
      <c r="J5" s="401"/>
      <c r="K5" s="401"/>
      <c r="L5" s="733">
        <f t="shared" ref="L5:L13" si="0">SUM(B5:K5)</f>
        <v>1590276.53</v>
      </c>
      <c r="M5" s="331" t="s">
        <v>303</v>
      </c>
      <c r="N5" s="401"/>
      <c r="O5" s="401"/>
      <c r="P5" s="401"/>
      <c r="Q5" s="401"/>
      <c r="R5" s="401"/>
      <c r="S5" s="401"/>
      <c r="T5" s="401"/>
      <c r="U5" s="733">
        <f t="shared" ref="U5:U13" si="1">SUM(N5:T5)</f>
        <v>0</v>
      </c>
      <c r="V5" s="411">
        <f t="shared" ref="V5:V14" si="2">U5+L5</f>
        <v>1590276.53</v>
      </c>
    </row>
    <row r="6" spans="1:25" ht="22.5">
      <c r="A6" s="331" t="s">
        <v>304</v>
      </c>
      <c r="B6" s="401"/>
      <c r="C6" s="401"/>
      <c r="D6" s="401">
        <v>150164.41</v>
      </c>
      <c r="E6" s="401">
        <v>109127.6</v>
      </c>
      <c r="F6" s="401">
        <v>3432020.12</v>
      </c>
      <c r="G6" s="401">
        <v>234092.06</v>
      </c>
      <c r="H6" s="401"/>
      <c r="I6" s="401">
        <v>16810.580000000002</v>
      </c>
      <c r="J6" s="401"/>
      <c r="K6" s="401">
        <v>2597.84</v>
      </c>
      <c r="L6" s="733">
        <f t="shared" si="0"/>
        <v>3944812.61</v>
      </c>
      <c r="M6" s="331" t="s">
        <v>304</v>
      </c>
      <c r="N6" s="401"/>
      <c r="O6" s="401"/>
      <c r="P6" s="401">
        <v>117928.41</v>
      </c>
      <c r="Q6" s="401">
        <v>118000</v>
      </c>
      <c r="R6" s="401"/>
      <c r="S6" s="401"/>
      <c r="T6" s="401"/>
      <c r="U6" s="733">
        <f t="shared" si="1"/>
        <v>235928.41</v>
      </c>
      <c r="V6" s="411">
        <f t="shared" si="2"/>
        <v>4180741.02</v>
      </c>
    </row>
    <row r="7" spans="1:25" ht="22.5">
      <c r="A7" s="331" t="s">
        <v>305</v>
      </c>
      <c r="B7" s="401"/>
      <c r="C7" s="401"/>
      <c r="D7" s="401">
        <v>919639.37</v>
      </c>
      <c r="E7" s="401"/>
      <c r="F7" s="401">
        <v>795826.5</v>
      </c>
      <c r="G7" s="401"/>
      <c r="H7" s="401"/>
      <c r="I7" s="401">
        <v>8404</v>
      </c>
      <c r="J7" s="401">
        <v>213132.77</v>
      </c>
      <c r="K7" s="401">
        <v>2363.4</v>
      </c>
      <c r="L7" s="733">
        <f t="shared" si="0"/>
        <v>1939366.04</v>
      </c>
      <c r="M7" s="331" t="s">
        <v>305</v>
      </c>
      <c r="N7" s="401"/>
      <c r="O7" s="401"/>
      <c r="P7" s="401">
        <v>348927.36</v>
      </c>
      <c r="Q7" s="401">
        <v>88000</v>
      </c>
      <c r="R7" s="401"/>
      <c r="S7" s="401"/>
      <c r="T7" s="401"/>
      <c r="U7" s="733">
        <f t="shared" si="1"/>
        <v>436927.36</v>
      </c>
      <c r="V7" s="411">
        <f t="shared" si="2"/>
        <v>2376293.4</v>
      </c>
    </row>
    <row r="8" spans="1:25">
      <c r="A8" s="331" t="s">
        <v>306</v>
      </c>
      <c r="B8" s="401"/>
      <c r="C8" s="401"/>
      <c r="D8" s="401">
        <v>389257</v>
      </c>
      <c r="E8" s="401"/>
      <c r="F8" s="401">
        <v>267083</v>
      </c>
      <c r="G8" s="401"/>
      <c r="H8" s="401"/>
      <c r="I8" s="401">
        <v>3315.6</v>
      </c>
      <c r="J8" s="401"/>
      <c r="K8" s="401">
        <v>1466.94</v>
      </c>
      <c r="L8" s="733">
        <f t="shared" si="0"/>
        <v>661122.53999999992</v>
      </c>
      <c r="M8" s="331" t="s">
        <v>306</v>
      </c>
      <c r="N8" s="401"/>
      <c r="O8" s="401"/>
      <c r="P8" s="401"/>
      <c r="Q8" s="401">
        <v>12000</v>
      </c>
      <c r="R8" s="401"/>
      <c r="S8" s="401"/>
      <c r="T8" s="401"/>
      <c r="U8" s="733">
        <f t="shared" si="1"/>
        <v>12000</v>
      </c>
      <c r="V8" s="411">
        <f t="shared" si="2"/>
        <v>673122.53999999992</v>
      </c>
    </row>
    <row r="9" spans="1:25">
      <c r="A9" s="331" t="s">
        <v>352</v>
      </c>
      <c r="B9" s="401"/>
      <c r="C9" s="401"/>
      <c r="D9" s="401">
        <v>2367792</v>
      </c>
      <c r="E9" s="401"/>
      <c r="F9" s="401"/>
      <c r="G9" s="401"/>
      <c r="H9" s="401"/>
      <c r="I9" s="401">
        <v>6657.05</v>
      </c>
      <c r="J9" s="401"/>
      <c r="K9" s="401">
        <v>2479.64</v>
      </c>
      <c r="L9" s="733">
        <f t="shared" si="0"/>
        <v>2376928.69</v>
      </c>
      <c r="M9" s="331" t="s">
        <v>352</v>
      </c>
      <c r="N9" s="401"/>
      <c r="O9" s="401"/>
      <c r="P9" s="401"/>
      <c r="Q9" s="401">
        <v>74000</v>
      </c>
      <c r="R9" s="401"/>
      <c r="S9" s="401"/>
      <c r="T9" s="401"/>
      <c r="U9" s="733">
        <f t="shared" si="1"/>
        <v>74000</v>
      </c>
      <c r="V9" s="411">
        <f t="shared" si="2"/>
        <v>2450928.69</v>
      </c>
    </row>
    <row r="10" spans="1:25" ht="19.5" customHeight="1">
      <c r="A10" s="331" t="s">
        <v>307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733">
        <f t="shared" si="0"/>
        <v>0</v>
      </c>
      <c r="M10" s="331" t="s">
        <v>307</v>
      </c>
      <c r="N10" s="401">
        <v>754818.87</v>
      </c>
      <c r="O10" s="401"/>
      <c r="P10" s="401"/>
      <c r="Q10" s="401"/>
      <c r="R10" s="401"/>
      <c r="S10" s="401"/>
      <c r="T10" s="401">
        <v>3874</v>
      </c>
      <c r="U10" s="733">
        <f t="shared" si="1"/>
        <v>758692.87</v>
      </c>
      <c r="V10" s="411">
        <f t="shared" si="2"/>
        <v>758692.87</v>
      </c>
    </row>
    <row r="11" spans="1:25">
      <c r="A11" s="331" t="s">
        <v>308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733">
        <f t="shared" si="0"/>
        <v>0</v>
      </c>
      <c r="M11" s="331" t="s">
        <v>308</v>
      </c>
      <c r="N11" s="401"/>
      <c r="O11" s="401">
        <v>475000</v>
      </c>
      <c r="P11" s="401"/>
      <c r="Q11" s="401"/>
      <c r="R11" s="401"/>
      <c r="S11" s="401"/>
      <c r="T11" s="401">
        <v>1862.91</v>
      </c>
      <c r="U11" s="733">
        <f t="shared" si="1"/>
        <v>476862.91</v>
      </c>
      <c r="V11" s="411">
        <f t="shared" si="2"/>
        <v>476862.91</v>
      </c>
    </row>
    <row r="12" spans="1:25" ht="22.5">
      <c r="A12" s="331" t="s">
        <v>232</v>
      </c>
      <c r="B12" s="401"/>
      <c r="C12" s="401">
        <v>368169.54</v>
      </c>
      <c r="D12" s="401"/>
      <c r="E12" s="401"/>
      <c r="F12" s="401"/>
      <c r="G12" s="401"/>
      <c r="H12" s="401"/>
      <c r="I12" s="401"/>
      <c r="J12" s="401"/>
      <c r="K12" s="401"/>
      <c r="L12" s="733">
        <f t="shared" si="0"/>
        <v>368169.54</v>
      </c>
      <c r="M12" s="331" t="s">
        <v>232</v>
      </c>
      <c r="N12" s="401"/>
      <c r="O12" s="401"/>
      <c r="P12" s="401"/>
      <c r="Q12" s="401"/>
      <c r="R12" s="401"/>
      <c r="S12" s="401">
        <v>1213882.9099999999</v>
      </c>
      <c r="T12" s="401">
        <v>6299</v>
      </c>
      <c r="U12" s="733">
        <f t="shared" si="1"/>
        <v>1220181.9099999999</v>
      </c>
      <c r="V12" s="411">
        <f t="shared" si="2"/>
        <v>1588351.45</v>
      </c>
    </row>
    <row r="13" spans="1:25">
      <c r="A13" s="402" t="s">
        <v>193</v>
      </c>
      <c r="B13" s="401">
        <v>1000</v>
      </c>
      <c r="C13" s="401">
        <v>4392</v>
      </c>
      <c r="D13" s="401">
        <f>1400+13486</f>
        <v>14886</v>
      </c>
      <c r="E13" s="401"/>
      <c r="F13" s="401">
        <f>23903.46+1342+127822.17+16199.99</f>
        <v>169267.62</v>
      </c>
      <c r="G13" s="401"/>
      <c r="H13" s="401"/>
      <c r="I13" s="401"/>
      <c r="J13" s="401"/>
      <c r="K13" s="401">
        <v>1658</v>
      </c>
      <c r="L13" s="733">
        <f t="shared" si="0"/>
        <v>191203.62</v>
      </c>
      <c r="M13" s="402" t="s">
        <v>193</v>
      </c>
      <c r="N13" s="401"/>
      <c r="O13" s="401">
        <v>95745.73</v>
      </c>
      <c r="P13" s="401"/>
      <c r="Q13" s="401">
        <v>24700</v>
      </c>
      <c r="R13" s="401"/>
      <c r="S13" s="401">
        <v>1400</v>
      </c>
      <c r="T13" s="401"/>
      <c r="U13" s="733">
        <f t="shared" si="1"/>
        <v>121845.73</v>
      </c>
      <c r="V13" s="411">
        <f t="shared" si="2"/>
        <v>313049.34999999998</v>
      </c>
    </row>
    <row r="14" spans="1:25" s="225" customFormat="1" ht="17.25" customHeight="1">
      <c r="A14" s="412" t="s">
        <v>309</v>
      </c>
      <c r="B14" s="411">
        <f t="shared" ref="B14:L14" si="3">SUM(B5:B13)</f>
        <v>1036051.53</v>
      </c>
      <c r="C14" s="411">
        <f t="shared" si="3"/>
        <v>920396.54</v>
      </c>
      <c r="D14" s="411">
        <f t="shared" si="3"/>
        <v>3841738.7800000003</v>
      </c>
      <c r="E14" s="411">
        <f t="shared" si="3"/>
        <v>109127.6</v>
      </c>
      <c r="F14" s="411">
        <f t="shared" si="3"/>
        <v>4664197.24</v>
      </c>
      <c r="G14" s="411">
        <f t="shared" si="3"/>
        <v>234092.06</v>
      </c>
      <c r="H14" s="411"/>
      <c r="I14" s="411">
        <f t="shared" si="3"/>
        <v>42577.23</v>
      </c>
      <c r="J14" s="411">
        <f t="shared" si="3"/>
        <v>213132.77</v>
      </c>
      <c r="K14" s="411">
        <f t="shared" si="3"/>
        <v>10565.82</v>
      </c>
      <c r="L14" s="411">
        <f t="shared" si="3"/>
        <v>11071879.569999998</v>
      </c>
      <c r="M14" s="412" t="s">
        <v>309</v>
      </c>
      <c r="N14" s="411">
        <f>SUM(N5:N13)</f>
        <v>754818.87</v>
      </c>
      <c r="O14" s="411">
        <f>SUM(O5:O13)</f>
        <v>570745.73</v>
      </c>
      <c r="P14" s="411">
        <f>SUM(P5:P13)</f>
        <v>466855.77</v>
      </c>
      <c r="Q14" s="411">
        <f>SUM(Q5:Q13)</f>
        <v>316700</v>
      </c>
      <c r="R14" s="411">
        <v>0</v>
      </c>
      <c r="S14" s="411">
        <f>SUM(S5:S13)</f>
        <v>1215282.9099999999</v>
      </c>
      <c r="T14" s="411">
        <f>SUM(T5:T13)</f>
        <v>12035.91</v>
      </c>
      <c r="U14" s="411">
        <f>SUM(U5:U13)</f>
        <v>3336439.19</v>
      </c>
      <c r="V14" s="411">
        <f t="shared" si="2"/>
        <v>14408318.759999998</v>
      </c>
      <c r="X14" s="226"/>
      <c r="Y14" s="226"/>
    </row>
    <row r="15" spans="1:25" hidden="1">
      <c r="A15" s="952" t="s">
        <v>287</v>
      </c>
      <c r="B15" s="952"/>
      <c r="C15" s="402"/>
      <c r="D15" s="402"/>
      <c r="E15" s="402"/>
      <c r="F15" s="402"/>
      <c r="G15" s="402"/>
      <c r="H15" s="402"/>
      <c r="I15" s="402"/>
      <c r="J15" s="402"/>
      <c r="K15" s="402"/>
      <c r="L15" s="403"/>
      <c r="M15" s="952" t="s">
        <v>310</v>
      </c>
      <c r="N15" s="952"/>
      <c r="O15" s="402"/>
      <c r="P15" s="402"/>
      <c r="Q15" s="402"/>
      <c r="R15" s="402"/>
      <c r="S15" s="402"/>
      <c r="T15" s="402"/>
      <c r="U15" s="403"/>
      <c r="V15" s="413"/>
    </row>
    <row r="16" spans="1:25" ht="56.25" hidden="1">
      <c r="A16" s="398" t="s">
        <v>311</v>
      </c>
      <c r="B16" s="399" t="s">
        <v>288</v>
      </c>
      <c r="C16" s="399" t="s">
        <v>289</v>
      </c>
      <c r="D16" s="399" t="s">
        <v>290</v>
      </c>
      <c r="E16" s="399" t="s">
        <v>291</v>
      </c>
      <c r="F16" s="399" t="s">
        <v>292</v>
      </c>
      <c r="G16" s="399"/>
      <c r="H16" s="399"/>
      <c r="I16" s="399" t="s">
        <v>293</v>
      </c>
      <c r="J16" s="399"/>
      <c r="K16" s="399" t="s">
        <v>294</v>
      </c>
      <c r="L16" s="400" t="s">
        <v>295</v>
      </c>
      <c r="M16" s="398" t="s">
        <v>311</v>
      </c>
      <c r="N16" s="399" t="s">
        <v>296</v>
      </c>
      <c r="O16" s="399" t="s">
        <v>297</v>
      </c>
      <c r="P16" s="399" t="s">
        <v>298</v>
      </c>
      <c r="Q16" s="399" t="s">
        <v>299</v>
      </c>
      <c r="R16" s="399"/>
      <c r="S16" s="399" t="s">
        <v>300</v>
      </c>
      <c r="T16" s="399" t="s">
        <v>301</v>
      </c>
      <c r="U16" s="400" t="s">
        <v>302</v>
      </c>
      <c r="V16" s="410" t="s">
        <v>312</v>
      </c>
    </row>
    <row r="17" spans="1:23" ht="21.75" customHeight="1">
      <c r="A17" s="331" t="s">
        <v>313</v>
      </c>
      <c r="B17" s="401"/>
      <c r="C17" s="401"/>
      <c r="D17" s="401"/>
      <c r="E17" s="401">
        <v>291436.2</v>
      </c>
      <c r="F17" s="401"/>
      <c r="G17" s="401"/>
      <c r="H17" s="401"/>
      <c r="I17" s="401"/>
      <c r="J17" s="401"/>
      <c r="K17" s="401"/>
      <c r="L17" s="733">
        <f>SUM(B17:K17)</f>
        <v>291436.2</v>
      </c>
      <c r="M17" s="331" t="s">
        <v>313</v>
      </c>
      <c r="N17" s="401"/>
      <c r="O17" s="401"/>
      <c r="P17" s="401"/>
      <c r="Q17" s="401"/>
      <c r="R17" s="401"/>
      <c r="S17" s="401"/>
      <c r="T17" s="401"/>
      <c r="U17" s="733">
        <f t="shared" ref="U17:U24" si="4">SUM(N17:T17)</f>
        <v>0</v>
      </c>
      <c r="V17" s="411">
        <f t="shared" ref="V17:V30" si="5">U17+L17</f>
        <v>291436.2</v>
      </c>
    </row>
    <row r="18" spans="1:23" ht="21" customHeight="1">
      <c r="A18" s="331" t="s">
        <v>314</v>
      </c>
      <c r="B18" s="401"/>
      <c r="C18" s="401"/>
      <c r="D18" s="401"/>
      <c r="E18" s="401">
        <v>125510.7</v>
      </c>
      <c r="F18" s="401"/>
      <c r="G18" s="401"/>
      <c r="H18" s="401"/>
      <c r="I18" s="401"/>
      <c r="J18" s="401"/>
      <c r="K18" s="401"/>
      <c r="L18" s="733">
        <f t="shared" ref="L18:L28" si="6">SUM(B18:K18)</f>
        <v>125510.7</v>
      </c>
      <c r="M18" s="331" t="s">
        <v>314</v>
      </c>
      <c r="N18" s="401"/>
      <c r="O18" s="401"/>
      <c r="P18" s="401"/>
      <c r="Q18" s="401"/>
      <c r="R18" s="401"/>
      <c r="S18" s="401"/>
      <c r="T18" s="401"/>
      <c r="U18" s="733">
        <f t="shared" si="4"/>
        <v>0</v>
      </c>
      <c r="V18" s="411">
        <f t="shared" si="5"/>
        <v>125510.7</v>
      </c>
    </row>
    <row r="19" spans="1:23" ht="22.5">
      <c r="A19" s="331" t="s">
        <v>510</v>
      </c>
      <c r="B19" s="401"/>
      <c r="C19" s="401"/>
      <c r="D19" s="401">
        <v>93286.2</v>
      </c>
      <c r="E19" s="401"/>
      <c r="F19" s="401"/>
      <c r="G19" s="401"/>
      <c r="H19" s="401"/>
      <c r="I19" s="401"/>
      <c r="J19" s="401"/>
      <c r="K19" s="401"/>
      <c r="L19" s="733">
        <f t="shared" si="6"/>
        <v>93286.2</v>
      </c>
      <c r="M19" s="331" t="s">
        <v>510</v>
      </c>
      <c r="N19" s="401"/>
      <c r="O19" s="401"/>
      <c r="P19" s="401"/>
      <c r="Q19" s="401"/>
      <c r="R19" s="401"/>
      <c r="S19" s="401"/>
      <c r="T19" s="401"/>
      <c r="U19" s="733">
        <f t="shared" si="4"/>
        <v>0</v>
      </c>
      <c r="V19" s="411">
        <f t="shared" si="5"/>
        <v>93286.2</v>
      </c>
    </row>
    <row r="20" spans="1:23" ht="22.5">
      <c r="A20" s="331" t="s">
        <v>315</v>
      </c>
      <c r="B20" s="401"/>
      <c r="C20" s="401"/>
      <c r="D20" s="401">
        <v>49242.94</v>
      </c>
      <c r="E20" s="401"/>
      <c r="F20" s="401"/>
      <c r="G20" s="401"/>
      <c r="H20" s="401"/>
      <c r="I20" s="401"/>
      <c r="J20" s="401"/>
      <c r="K20" s="401"/>
      <c r="L20" s="733">
        <f t="shared" si="6"/>
        <v>49242.94</v>
      </c>
      <c r="M20" s="331" t="s">
        <v>315</v>
      </c>
      <c r="N20" s="401"/>
      <c r="O20" s="401"/>
      <c r="P20" s="401"/>
      <c r="Q20" s="401"/>
      <c r="R20" s="401"/>
      <c r="S20" s="401"/>
      <c r="T20" s="401"/>
      <c r="U20" s="733">
        <f t="shared" si="4"/>
        <v>0</v>
      </c>
      <c r="V20" s="411">
        <f t="shared" si="5"/>
        <v>49242.94</v>
      </c>
    </row>
    <row r="21" spans="1:23">
      <c r="A21" s="331" t="s">
        <v>316</v>
      </c>
      <c r="B21" s="401"/>
      <c r="C21" s="401"/>
      <c r="D21" s="401"/>
      <c r="E21" s="401"/>
      <c r="F21" s="401">
        <v>142732.79999999999</v>
      </c>
      <c r="G21" s="401"/>
      <c r="H21" s="401"/>
      <c r="I21" s="401"/>
      <c r="J21" s="401"/>
      <c r="K21" s="401"/>
      <c r="L21" s="733">
        <f t="shared" si="6"/>
        <v>142732.79999999999</v>
      </c>
      <c r="M21" s="331" t="s">
        <v>316</v>
      </c>
      <c r="N21" s="401"/>
      <c r="O21" s="401"/>
      <c r="P21" s="401"/>
      <c r="Q21" s="401"/>
      <c r="R21" s="401"/>
      <c r="S21" s="401"/>
      <c r="T21" s="401"/>
      <c r="U21" s="733">
        <f t="shared" si="4"/>
        <v>0</v>
      </c>
      <c r="V21" s="411">
        <f t="shared" si="5"/>
        <v>142732.79999999999</v>
      </c>
    </row>
    <row r="22" spans="1:23">
      <c r="A22" s="452" t="s">
        <v>317</v>
      </c>
      <c r="B22" s="453"/>
      <c r="C22" s="453"/>
      <c r="D22" s="453">
        <f>SUM(D17:D21)</f>
        <v>142529.14000000001</v>
      </c>
      <c r="E22" s="453">
        <f>SUM(E17:E21)</f>
        <v>416946.9</v>
      </c>
      <c r="F22" s="453">
        <f>SUM(F17:F21)</f>
        <v>142732.79999999999</v>
      </c>
      <c r="G22" s="453"/>
      <c r="H22" s="453"/>
      <c r="I22" s="453"/>
      <c r="J22" s="453"/>
      <c r="K22" s="453"/>
      <c r="L22" s="733">
        <f t="shared" si="6"/>
        <v>702208.84000000008</v>
      </c>
      <c r="M22" s="452" t="s">
        <v>317</v>
      </c>
      <c r="N22" s="453"/>
      <c r="O22" s="453"/>
      <c r="P22" s="453"/>
      <c r="Q22" s="459"/>
      <c r="R22" s="459"/>
      <c r="S22" s="453"/>
      <c r="T22" s="453"/>
      <c r="U22" s="733">
        <f t="shared" si="4"/>
        <v>0</v>
      </c>
      <c r="V22" s="411">
        <f t="shared" si="5"/>
        <v>702208.84000000008</v>
      </c>
      <c r="W22" s="458"/>
    </row>
    <row r="23" spans="1:23">
      <c r="A23" s="331" t="s">
        <v>318</v>
      </c>
      <c r="B23" s="401"/>
      <c r="C23" s="401"/>
      <c r="D23" s="401"/>
      <c r="E23" s="401"/>
      <c r="F23" s="401">
        <v>199355.1</v>
      </c>
      <c r="G23" s="401"/>
      <c r="H23" s="401"/>
      <c r="I23" s="401"/>
      <c r="J23" s="401"/>
      <c r="K23" s="401"/>
      <c r="L23" s="733">
        <f t="shared" si="6"/>
        <v>199355.1</v>
      </c>
      <c r="M23" s="331" t="s">
        <v>318</v>
      </c>
      <c r="N23" s="401"/>
      <c r="O23" s="401"/>
      <c r="P23" s="401"/>
      <c r="Q23" s="401"/>
      <c r="R23" s="401"/>
      <c r="S23" s="401"/>
      <c r="T23" s="401"/>
      <c r="U23" s="733">
        <f t="shared" si="4"/>
        <v>0</v>
      </c>
      <c r="V23" s="411">
        <f t="shared" si="5"/>
        <v>199355.1</v>
      </c>
    </row>
    <row r="24" spans="1:23" ht="22.5">
      <c r="A24" s="331" t="s">
        <v>319</v>
      </c>
      <c r="B24" s="401"/>
      <c r="C24" s="401"/>
      <c r="D24" s="401">
        <v>186961.94</v>
      </c>
      <c r="E24" s="401"/>
      <c r="F24" s="401"/>
      <c r="G24" s="401"/>
      <c r="H24" s="401"/>
      <c r="I24" s="401"/>
      <c r="J24" s="401"/>
      <c r="K24" s="401"/>
      <c r="L24" s="733">
        <f t="shared" si="6"/>
        <v>186961.94</v>
      </c>
      <c r="M24" s="331" t="s">
        <v>319</v>
      </c>
      <c r="N24" s="401"/>
      <c r="O24" s="401"/>
      <c r="P24" s="401"/>
      <c r="Q24" s="401"/>
      <c r="R24" s="401"/>
      <c r="S24" s="401"/>
      <c r="T24" s="401"/>
      <c r="U24" s="733">
        <f t="shared" si="4"/>
        <v>0</v>
      </c>
      <c r="V24" s="411">
        <f t="shared" si="5"/>
        <v>186961.94</v>
      </c>
    </row>
    <row r="25" spans="1:23" ht="22.5">
      <c r="A25" s="331" t="s">
        <v>396</v>
      </c>
      <c r="B25" s="401"/>
      <c r="C25" s="401"/>
      <c r="D25" s="401">
        <v>128582.52</v>
      </c>
      <c r="E25" s="401"/>
      <c r="F25" s="401"/>
      <c r="G25" s="401"/>
      <c r="H25" s="401"/>
      <c r="I25" s="401"/>
      <c r="J25" s="401"/>
      <c r="K25" s="401"/>
      <c r="L25" s="733">
        <f t="shared" si="6"/>
        <v>128582.52</v>
      </c>
      <c r="M25" s="331" t="s">
        <v>396</v>
      </c>
      <c r="N25" s="401"/>
      <c r="O25" s="401"/>
      <c r="P25" s="401"/>
      <c r="Q25" s="401"/>
      <c r="R25" s="401"/>
      <c r="S25" s="401"/>
      <c r="T25" s="401"/>
      <c r="U25" s="733"/>
      <c r="V25" s="411">
        <f t="shared" si="5"/>
        <v>128582.52</v>
      </c>
    </row>
    <row r="26" spans="1:23">
      <c r="A26" s="452" t="s">
        <v>320</v>
      </c>
      <c r="B26" s="453"/>
      <c r="C26" s="453"/>
      <c r="D26" s="453">
        <f>SUM(D23:D25)</f>
        <v>315544.46000000002</v>
      </c>
      <c r="E26" s="453"/>
      <c r="F26" s="453">
        <f>SUM(F23:F24)</f>
        <v>199355.1</v>
      </c>
      <c r="G26" s="453"/>
      <c r="H26" s="453"/>
      <c r="I26" s="453"/>
      <c r="J26" s="453"/>
      <c r="K26" s="453"/>
      <c r="L26" s="733">
        <f t="shared" si="6"/>
        <v>514899.56000000006</v>
      </c>
      <c r="M26" s="452" t="s">
        <v>320</v>
      </c>
      <c r="N26" s="453"/>
      <c r="O26" s="453"/>
      <c r="P26" s="453"/>
      <c r="Q26" s="453"/>
      <c r="R26" s="453"/>
      <c r="S26" s="453"/>
      <c r="T26" s="453"/>
      <c r="U26" s="733">
        <f>SUM(N26:T26)</f>
        <v>0</v>
      </c>
      <c r="V26" s="411">
        <f t="shared" si="5"/>
        <v>514899.56000000006</v>
      </c>
      <c r="W26" s="458"/>
    </row>
    <row r="27" spans="1:23" ht="22.5">
      <c r="A27" s="736" t="s">
        <v>604</v>
      </c>
      <c r="B27" s="401"/>
      <c r="C27" s="401"/>
      <c r="D27" s="401"/>
      <c r="E27" s="401"/>
      <c r="F27" s="401"/>
      <c r="G27" s="401"/>
      <c r="H27" s="401">
        <v>143395.20000000001</v>
      </c>
      <c r="I27" s="401"/>
      <c r="J27" s="401"/>
      <c r="K27" s="401"/>
      <c r="L27" s="733">
        <f t="shared" si="6"/>
        <v>143395.20000000001</v>
      </c>
      <c r="M27" s="736" t="s">
        <v>604</v>
      </c>
      <c r="N27" s="732"/>
      <c r="O27" s="732"/>
      <c r="P27" s="732"/>
      <c r="Q27" s="732"/>
      <c r="R27" s="732"/>
      <c r="S27" s="732"/>
      <c r="T27" s="732"/>
      <c r="U27" s="735"/>
      <c r="V27" s="411">
        <f t="shared" si="5"/>
        <v>143395.20000000001</v>
      </c>
      <c r="W27" s="458"/>
    </row>
    <row r="28" spans="1:23" ht="22.5">
      <c r="A28" s="736" t="s">
        <v>397</v>
      </c>
      <c r="B28" s="401"/>
      <c r="C28" s="401"/>
      <c r="D28" s="401"/>
      <c r="E28" s="401"/>
      <c r="F28" s="401"/>
      <c r="G28" s="401"/>
      <c r="H28" s="401">
        <v>0</v>
      </c>
      <c r="I28" s="401"/>
      <c r="J28" s="401"/>
      <c r="K28" s="401"/>
      <c r="L28" s="733">
        <f t="shared" si="6"/>
        <v>0</v>
      </c>
      <c r="M28" s="331" t="s">
        <v>397</v>
      </c>
      <c r="N28" s="401"/>
      <c r="O28" s="401"/>
      <c r="P28" s="401"/>
      <c r="Q28" s="401"/>
      <c r="R28" s="401">
        <v>1051916.8</v>
      </c>
      <c r="S28" s="401"/>
      <c r="T28" s="401"/>
      <c r="U28" s="733">
        <f>SUM(N28:T28)</f>
        <v>1051916.8</v>
      </c>
      <c r="V28" s="411">
        <f t="shared" si="5"/>
        <v>1051916.8</v>
      </c>
    </row>
    <row r="29" spans="1:23">
      <c r="A29" s="454" t="s">
        <v>321</v>
      </c>
      <c r="B29" s="455"/>
      <c r="C29" s="455"/>
      <c r="D29" s="455"/>
      <c r="E29" s="455"/>
      <c r="F29" s="455"/>
      <c r="G29" s="455"/>
      <c r="H29" s="455">
        <f>H27</f>
        <v>143395.20000000001</v>
      </c>
      <c r="I29" s="455"/>
      <c r="J29" s="455"/>
      <c r="K29" s="455"/>
      <c r="L29" s="456">
        <f>L27+L28</f>
        <v>143395.20000000001</v>
      </c>
      <c r="M29" s="454" t="s">
        <v>321</v>
      </c>
      <c r="N29" s="455"/>
      <c r="O29" s="455"/>
      <c r="P29" s="455"/>
      <c r="Q29" s="455"/>
      <c r="R29" s="455">
        <f>R28</f>
        <v>1051916.8</v>
      </c>
      <c r="S29" s="455"/>
      <c r="T29" s="455"/>
      <c r="U29" s="456">
        <f>SUM(N29:T29)</f>
        <v>1051916.8</v>
      </c>
      <c r="V29" s="411">
        <f t="shared" si="5"/>
        <v>1195312</v>
      </c>
      <c r="W29" s="457"/>
    </row>
    <row r="30" spans="1:23" ht="21.75">
      <c r="A30" s="404" t="s">
        <v>322</v>
      </c>
      <c r="B30" s="405"/>
      <c r="C30" s="405"/>
      <c r="D30" s="405">
        <f>D22+D26+D29</f>
        <v>458073.60000000003</v>
      </c>
      <c r="E30" s="405">
        <f>E22+E26+E29</f>
        <v>416946.9</v>
      </c>
      <c r="F30" s="405">
        <f>F22+F26+F29</f>
        <v>342087.9</v>
      </c>
      <c r="G30" s="405"/>
      <c r="H30" s="405">
        <f>H29</f>
        <v>143395.20000000001</v>
      </c>
      <c r="I30" s="405"/>
      <c r="J30" s="405"/>
      <c r="K30" s="405"/>
      <c r="L30" s="405">
        <f>L22+L26+L29</f>
        <v>1360503.6</v>
      </c>
      <c r="M30" s="404" t="s">
        <v>322</v>
      </c>
      <c r="N30" s="405"/>
      <c r="O30" s="405"/>
      <c r="P30" s="405"/>
      <c r="Q30" s="405"/>
      <c r="R30" s="405">
        <f>R22+R26+R29</f>
        <v>1051916.8</v>
      </c>
      <c r="S30" s="405"/>
      <c r="T30" s="405"/>
      <c r="U30" s="405">
        <f>U22+U26+U29</f>
        <v>1051916.8</v>
      </c>
      <c r="V30" s="411">
        <f t="shared" si="5"/>
        <v>2412420.4000000004</v>
      </c>
    </row>
    <row r="31" spans="1:23" ht="12" thickBot="1">
      <c r="A31" s="404" t="s">
        <v>323</v>
      </c>
      <c r="B31" s="405">
        <f t="shared" ref="B31:G31" si="7">B14+B30</f>
        <v>1036051.53</v>
      </c>
      <c r="C31" s="405">
        <f t="shared" si="7"/>
        <v>920396.54</v>
      </c>
      <c r="D31" s="405">
        <f t="shared" si="7"/>
        <v>4299812.38</v>
      </c>
      <c r="E31" s="405">
        <f t="shared" si="7"/>
        <v>526074.5</v>
      </c>
      <c r="F31" s="405">
        <f t="shared" si="7"/>
        <v>5006285.1400000006</v>
      </c>
      <c r="G31" s="405">
        <f t="shared" si="7"/>
        <v>234092.06</v>
      </c>
      <c r="H31" s="405">
        <f>H30</f>
        <v>143395.20000000001</v>
      </c>
      <c r="I31" s="405">
        <f>I14+I30</f>
        <v>42577.23</v>
      </c>
      <c r="J31" s="405">
        <f>J14+J30</f>
        <v>213132.77</v>
      </c>
      <c r="K31" s="405">
        <f>K14+K30</f>
        <v>10565.82</v>
      </c>
      <c r="L31" s="405">
        <f>L14+L30</f>
        <v>12432383.169999998</v>
      </c>
      <c r="M31" s="406" t="s">
        <v>323</v>
      </c>
      <c r="N31" s="407">
        <f t="shared" ref="N31:V31" si="8">N14+N30</f>
        <v>754818.87</v>
      </c>
      <c r="O31" s="408">
        <f t="shared" si="8"/>
        <v>570745.73</v>
      </c>
      <c r="P31" s="408">
        <f t="shared" si="8"/>
        <v>466855.77</v>
      </c>
      <c r="Q31" s="408">
        <f t="shared" si="8"/>
        <v>316700</v>
      </c>
      <c r="R31" s="408">
        <f t="shared" si="8"/>
        <v>1051916.8</v>
      </c>
      <c r="S31" s="408">
        <f t="shared" si="8"/>
        <v>1215282.9099999999</v>
      </c>
      <c r="T31" s="408">
        <f t="shared" si="8"/>
        <v>12035.91</v>
      </c>
      <c r="U31" s="408">
        <f t="shared" si="8"/>
        <v>4388355.99</v>
      </c>
      <c r="V31" s="409">
        <f t="shared" si="8"/>
        <v>16820739.159999996</v>
      </c>
    </row>
  </sheetData>
  <mergeCells count="6">
    <mergeCell ref="K1:L1"/>
    <mergeCell ref="A3:B3"/>
    <mergeCell ref="A15:B15"/>
    <mergeCell ref="A2:L2"/>
    <mergeCell ref="M3:N3"/>
    <mergeCell ref="M15:N15"/>
  </mergeCells>
  <pageMargins left="0.7" right="0.7" top="0.75" bottom="0.75" header="0.3" footer="0.3"/>
  <pageSetup paperSize="9" scale="94" firstPageNumber="68" orientation="landscape" useFirstPageNumber="1" horizontalDpi="1200" verticalDpi="1200" r:id="rId1"/>
  <headerFooter alignWithMargins="0">
    <oddFooter>&amp;CZałącznik Nr 25</oddFooter>
  </headerFooter>
  <colBreaks count="1" manualBreakCount="1">
    <brk id="12" max="32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Q56"/>
  <sheetViews>
    <sheetView view="pageLayout" topLeftCell="A10" workbookViewId="0">
      <selection activeCell="J9" sqref="J9"/>
    </sheetView>
  </sheetViews>
  <sheetFormatPr defaultRowHeight="12.75"/>
  <cols>
    <col min="1" max="1" width="15.140625" customWidth="1"/>
    <col min="2" max="2" width="19.42578125" customWidth="1"/>
    <col min="3" max="3" width="18.140625" customWidth="1"/>
    <col min="4" max="5" width="2.140625" customWidth="1"/>
    <col min="6" max="9" width="5.7109375" customWidth="1"/>
    <col min="10" max="10" width="60.42578125" customWidth="1"/>
    <col min="11" max="11" width="2.28515625" customWidth="1"/>
    <col min="16" max="16" width="5.140625" customWidth="1"/>
    <col min="17" max="17" width="9.140625" hidden="1" customWidth="1"/>
  </cols>
  <sheetData>
    <row r="2" spans="1:3">
      <c r="B2" t="s">
        <v>11</v>
      </c>
      <c r="C2" t="s">
        <v>12</v>
      </c>
    </row>
    <row r="3" spans="1:3">
      <c r="A3" s="350" t="s">
        <v>14</v>
      </c>
      <c r="B3" s="351">
        <v>84000</v>
      </c>
      <c r="C3" s="352">
        <v>84215.4</v>
      </c>
    </row>
    <row r="4" spans="1:3">
      <c r="A4" s="350" t="s">
        <v>23</v>
      </c>
      <c r="B4" s="353">
        <v>269953</v>
      </c>
      <c r="C4" s="354">
        <v>264982.93</v>
      </c>
    </row>
    <row r="5" spans="1:3">
      <c r="A5" s="350" t="s">
        <v>495</v>
      </c>
      <c r="B5" s="353">
        <v>5850</v>
      </c>
      <c r="C5" s="354">
        <v>5853.14</v>
      </c>
    </row>
    <row r="6" spans="1:3">
      <c r="A6" s="350">
        <v>600</v>
      </c>
      <c r="B6" s="353">
        <v>1843272</v>
      </c>
      <c r="C6" s="354">
        <v>1805108.16</v>
      </c>
    </row>
    <row r="7" spans="1:3">
      <c r="A7" s="350" t="s">
        <v>496</v>
      </c>
      <c r="B7" s="353">
        <v>1146344</v>
      </c>
      <c r="C7" s="354">
        <v>1183231.6599999999</v>
      </c>
    </row>
    <row r="8" spans="1:3">
      <c r="A8" s="350" t="s">
        <v>497</v>
      </c>
      <c r="B8" s="353">
        <v>347167</v>
      </c>
      <c r="C8" s="354">
        <v>347351.16</v>
      </c>
    </row>
    <row r="9" spans="1:3">
      <c r="A9" s="350" t="s">
        <v>498</v>
      </c>
      <c r="B9" s="353">
        <v>351464</v>
      </c>
      <c r="C9" s="354">
        <v>382470.06</v>
      </c>
    </row>
    <row r="10" spans="1:3">
      <c r="A10" s="307">
        <v>754</v>
      </c>
      <c r="B10" s="353">
        <v>2996134</v>
      </c>
      <c r="C10" s="354">
        <v>3000836.18</v>
      </c>
    </row>
    <row r="11" spans="1:3">
      <c r="A11" s="307">
        <v>756</v>
      </c>
      <c r="B11" s="353">
        <v>6484315</v>
      </c>
      <c r="C11" s="354">
        <v>6130550.0999999996</v>
      </c>
    </row>
    <row r="12" spans="1:3">
      <c r="A12" s="307">
        <v>758</v>
      </c>
      <c r="B12" s="353">
        <v>25682567</v>
      </c>
      <c r="C12" s="354">
        <v>25695943.629999999</v>
      </c>
    </row>
    <row r="13" spans="1:3">
      <c r="A13" s="307">
        <v>801</v>
      </c>
      <c r="B13" s="353">
        <v>407155.68</v>
      </c>
      <c r="C13" s="354">
        <v>420768.77</v>
      </c>
    </row>
    <row r="14" spans="1:3">
      <c r="A14" s="307">
        <v>851</v>
      </c>
      <c r="B14" s="353">
        <v>2405042</v>
      </c>
      <c r="C14" s="354">
        <v>2402677.84</v>
      </c>
    </row>
    <row r="15" spans="1:3">
      <c r="A15" s="307">
        <v>852</v>
      </c>
      <c r="B15" s="353">
        <v>4753058</v>
      </c>
      <c r="C15" s="354">
        <v>4729934.82</v>
      </c>
    </row>
    <row r="16" spans="1:3">
      <c r="A16" s="307">
        <v>853</v>
      </c>
      <c r="B16" s="353">
        <v>1940782.8</v>
      </c>
      <c r="C16" s="354">
        <v>1905381.33</v>
      </c>
    </row>
    <row r="17" spans="1:3">
      <c r="A17" s="307">
        <v>854</v>
      </c>
      <c r="B17" s="353">
        <v>394752</v>
      </c>
      <c r="C17" s="354">
        <v>387605.94</v>
      </c>
    </row>
    <row r="18" spans="1:3">
      <c r="A18" s="307">
        <v>926</v>
      </c>
      <c r="B18" s="353">
        <v>333000</v>
      </c>
      <c r="C18" s="354">
        <v>333000</v>
      </c>
    </row>
    <row r="19" spans="1:3">
      <c r="A19" s="307"/>
      <c r="C19" s="353"/>
    </row>
    <row r="42" spans="1:10" ht="26.25" customHeight="1">
      <c r="A42" s="307"/>
      <c r="B42" s="307"/>
      <c r="C42" s="307"/>
      <c r="D42" s="307"/>
      <c r="E42" s="307"/>
      <c r="F42" s="307"/>
      <c r="G42" s="307"/>
      <c r="H42" s="307"/>
      <c r="I42" s="307"/>
      <c r="J42" s="307"/>
    </row>
    <row r="43" spans="1:10" hidden="1">
      <c r="A43" s="764">
        <v>7</v>
      </c>
      <c r="B43" s="764"/>
      <c r="C43" s="764"/>
      <c r="D43" s="764"/>
      <c r="E43" s="764"/>
      <c r="F43" s="764"/>
      <c r="G43" s="764"/>
      <c r="H43" s="764"/>
      <c r="I43" s="764"/>
      <c r="J43" s="764"/>
    </row>
    <row r="44" spans="1:10" ht="9.75" hidden="1" customHeight="1">
      <c r="A44" s="764"/>
      <c r="B44" s="764"/>
      <c r="C44" s="764"/>
      <c r="D44" s="764"/>
      <c r="E44" s="764"/>
      <c r="F44" s="764"/>
      <c r="G44" s="764"/>
      <c r="H44" s="764"/>
      <c r="I44" s="764"/>
      <c r="J44" s="764"/>
    </row>
    <row r="45" spans="1:10" hidden="1">
      <c r="A45" s="764"/>
      <c r="B45" s="764"/>
      <c r="C45" s="764"/>
      <c r="D45" s="764"/>
      <c r="E45" s="764"/>
      <c r="F45" s="764"/>
      <c r="G45" s="764"/>
      <c r="H45" s="764"/>
      <c r="I45" s="764"/>
      <c r="J45" s="764"/>
    </row>
    <row r="46" spans="1:10" hidden="1">
      <c r="A46" s="764"/>
      <c r="B46" s="764"/>
      <c r="C46" s="764"/>
      <c r="D46" s="764"/>
      <c r="E46" s="764"/>
      <c r="F46" s="764"/>
      <c r="G46" s="764"/>
      <c r="H46" s="764"/>
      <c r="I46" s="764"/>
      <c r="J46" s="764"/>
    </row>
    <row r="56" spans="1:10" ht="35.25" customHeight="1">
      <c r="A56" s="764"/>
      <c r="B56" s="764"/>
      <c r="C56" s="764"/>
      <c r="D56" s="764"/>
      <c r="E56" s="764"/>
      <c r="F56" s="764"/>
      <c r="G56" s="764"/>
      <c r="H56" s="764"/>
      <c r="I56" s="764"/>
      <c r="J56" s="764"/>
    </row>
  </sheetData>
  <mergeCells count="2">
    <mergeCell ref="A43:J46"/>
    <mergeCell ref="A56:J56"/>
  </mergeCells>
  <pageMargins left="0.78740157480314965" right="0.78740157480314965" top="0.78740157480314965" bottom="0.78740157480314965" header="0.31496062992125984" footer="0.31496062992125984"/>
  <pageSetup paperSize="9" firstPageNumber="22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3"/>
  <sheetViews>
    <sheetView view="pageLayout" topLeftCell="A139" workbookViewId="0">
      <selection activeCell="J79" sqref="J79"/>
    </sheetView>
  </sheetViews>
  <sheetFormatPr defaultColWidth="9" defaultRowHeight="12.75"/>
  <cols>
    <col min="1" max="1" width="4.85546875" customWidth="1"/>
    <col min="2" max="2" width="6.42578125" customWidth="1"/>
    <col min="3" max="3" width="4.7109375" customWidth="1"/>
    <col min="4" max="4" width="32.7109375" customWidth="1"/>
    <col min="5" max="6" width="10.85546875" customWidth="1"/>
    <col min="7" max="7" width="11.28515625" customWidth="1"/>
    <col min="8" max="8" width="5.85546875" style="10" customWidth="1"/>
  </cols>
  <sheetData>
    <row r="1" spans="1:8">
      <c r="A1" s="2"/>
      <c r="B1" s="2"/>
      <c r="C1" s="2"/>
      <c r="D1" s="2"/>
      <c r="E1" s="2"/>
      <c r="F1" s="2"/>
      <c r="G1" s="755" t="s">
        <v>112</v>
      </c>
      <c r="H1" s="755"/>
    </row>
    <row r="2" spans="1:8" ht="15.75">
      <c r="A2" s="771" t="s">
        <v>4</v>
      </c>
      <c r="B2" s="771"/>
      <c r="C2" s="771"/>
      <c r="D2" s="771"/>
      <c r="E2" s="771"/>
      <c r="F2" s="771"/>
      <c r="G2" s="771"/>
      <c r="H2" s="771"/>
    </row>
    <row r="3" spans="1:8" ht="15.75">
      <c r="A3" s="772" t="s">
        <v>488</v>
      </c>
      <c r="B3" s="772"/>
      <c r="C3" s="772"/>
      <c r="D3" s="772"/>
      <c r="E3" s="772"/>
      <c r="F3" s="772"/>
      <c r="G3" s="772"/>
      <c r="H3" s="772"/>
    </row>
    <row r="4" spans="1:8" ht="18.75" customHeight="1">
      <c r="A4" s="771" t="s">
        <v>518</v>
      </c>
      <c r="B4" s="771"/>
      <c r="C4" s="771"/>
      <c r="D4" s="771"/>
      <c r="E4" s="771"/>
      <c r="F4" s="771"/>
      <c r="G4" s="771"/>
      <c r="H4" s="771"/>
    </row>
    <row r="5" spans="1:8">
      <c r="A5" s="2"/>
      <c r="B5" s="2"/>
      <c r="C5" s="2"/>
      <c r="D5" s="2"/>
      <c r="E5" s="2"/>
      <c r="G5" s="5" t="s">
        <v>6</v>
      </c>
      <c r="H5" s="2"/>
    </row>
    <row r="6" spans="1:8">
      <c r="A6" s="765" t="s">
        <v>7</v>
      </c>
      <c r="B6" s="765" t="s">
        <v>8</v>
      </c>
      <c r="C6" s="765" t="s">
        <v>9</v>
      </c>
      <c r="D6" s="765" t="s">
        <v>10</v>
      </c>
      <c r="E6" s="765" t="s">
        <v>11</v>
      </c>
      <c r="F6" s="773" t="s">
        <v>12</v>
      </c>
      <c r="G6" s="774"/>
      <c r="H6" s="765" t="s">
        <v>13</v>
      </c>
    </row>
    <row r="7" spans="1:8" ht="6" customHeight="1">
      <c r="A7" s="765"/>
      <c r="B7" s="765"/>
      <c r="C7" s="765"/>
      <c r="D7" s="765"/>
      <c r="E7" s="765"/>
      <c r="F7" s="762" t="s">
        <v>489</v>
      </c>
      <c r="G7" s="758" t="s">
        <v>490</v>
      </c>
      <c r="H7" s="765"/>
    </row>
    <row r="8" spans="1:8" s="12" customFormat="1" ht="18" customHeight="1">
      <c r="A8" s="765"/>
      <c r="B8" s="765"/>
      <c r="C8" s="765"/>
      <c r="D8" s="765"/>
      <c r="E8" s="765"/>
      <c r="F8" s="763"/>
      <c r="G8" s="758"/>
      <c r="H8" s="765"/>
    </row>
    <row r="9" spans="1:8" s="13" customFormat="1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</row>
    <row r="10" spans="1:8" s="14" customFormat="1">
      <c r="A10" s="161" t="s">
        <v>23</v>
      </c>
      <c r="B10" s="161"/>
      <c r="C10" s="161"/>
      <c r="D10" s="315" t="s">
        <v>24</v>
      </c>
      <c r="E10" s="313">
        <f>E11+E14</f>
        <v>269953</v>
      </c>
      <c r="F10" s="313">
        <f>F11+F14</f>
        <v>264982.93</v>
      </c>
      <c r="G10" s="313">
        <f>G11+G14</f>
        <v>0</v>
      </c>
      <c r="H10" s="231">
        <f t="shared" ref="H10:H75" si="0">(F10+G10)/E10*100</f>
        <v>98.158912847792024</v>
      </c>
    </row>
    <row r="11" spans="1:8" s="14" customFormat="1">
      <c r="A11" s="744" t="s">
        <v>16</v>
      </c>
      <c r="B11" s="282" t="s">
        <v>25</v>
      </c>
      <c r="C11" s="282"/>
      <c r="D11" s="250" t="s">
        <v>26</v>
      </c>
      <c r="E11" s="233">
        <f>E13</f>
        <v>252000</v>
      </c>
      <c r="F11" s="233">
        <f>F13+F12</f>
        <v>247031.06</v>
      </c>
      <c r="G11" s="233">
        <f>G13</f>
        <v>0</v>
      </c>
      <c r="H11" s="138">
        <f t="shared" si="0"/>
        <v>98.028198412698401</v>
      </c>
    </row>
    <row r="12" spans="1:8" s="14" customFormat="1">
      <c r="A12" s="744"/>
      <c r="B12" s="748"/>
      <c r="C12" s="314" t="s">
        <v>27</v>
      </c>
      <c r="D12" s="250" t="s">
        <v>28</v>
      </c>
      <c r="E12" s="233">
        <v>0</v>
      </c>
      <c r="F12" s="233">
        <v>1148.21</v>
      </c>
      <c r="G12" s="233">
        <v>0</v>
      </c>
      <c r="H12" s="138"/>
    </row>
    <row r="13" spans="1:8" s="14" customFormat="1" ht="34.5" customHeight="1">
      <c r="A13" s="744"/>
      <c r="B13" s="750"/>
      <c r="C13" s="282">
        <v>2460</v>
      </c>
      <c r="D13" s="250" t="s">
        <v>29</v>
      </c>
      <c r="E13" s="233">
        <v>252000</v>
      </c>
      <c r="F13" s="233">
        <v>245882.85</v>
      </c>
      <c r="G13" s="233">
        <v>0</v>
      </c>
      <c r="H13" s="138">
        <f t="shared" si="0"/>
        <v>97.572559523809517</v>
      </c>
    </row>
    <row r="14" spans="1:8" s="14" customFormat="1">
      <c r="A14" s="744"/>
      <c r="B14" s="282" t="s">
        <v>30</v>
      </c>
      <c r="C14" s="282"/>
      <c r="D14" s="250" t="s">
        <v>136</v>
      </c>
      <c r="E14" s="233">
        <f>E15</f>
        <v>17953</v>
      </c>
      <c r="F14" s="233">
        <f>F15</f>
        <v>17951.87</v>
      </c>
      <c r="G14" s="233">
        <f>G15</f>
        <v>0</v>
      </c>
      <c r="H14" s="138">
        <f t="shared" si="0"/>
        <v>99.993705787333582</v>
      </c>
    </row>
    <row r="15" spans="1:8" s="14" customFormat="1" ht="55.5" customHeight="1">
      <c r="A15" s="744"/>
      <c r="B15" s="282"/>
      <c r="C15" s="282" t="s">
        <v>31</v>
      </c>
      <c r="D15" s="316" t="s">
        <v>117</v>
      </c>
      <c r="E15" s="233">
        <v>17953</v>
      </c>
      <c r="F15" s="233">
        <v>17951.87</v>
      </c>
      <c r="G15" s="233">
        <v>0</v>
      </c>
      <c r="H15" s="138">
        <f t="shared" si="0"/>
        <v>99.993705787333582</v>
      </c>
    </row>
    <row r="16" spans="1:8" s="14" customFormat="1">
      <c r="A16" s="320">
        <v>150</v>
      </c>
      <c r="B16" s="321"/>
      <c r="C16" s="322"/>
      <c r="D16" s="323" t="s">
        <v>33</v>
      </c>
      <c r="E16" s="324">
        <f>E17</f>
        <v>5850</v>
      </c>
      <c r="F16" s="324">
        <f>F17</f>
        <v>5853.14</v>
      </c>
      <c r="G16" s="324">
        <f>G17</f>
        <v>0</v>
      </c>
      <c r="H16" s="231">
        <f t="shared" si="0"/>
        <v>100.05367521367521</v>
      </c>
    </row>
    <row r="17" spans="1:8" s="14" customFormat="1">
      <c r="A17" s="325"/>
      <c r="B17" s="326">
        <v>15011</v>
      </c>
      <c r="C17" s="282"/>
      <c r="D17" s="250" t="s">
        <v>34</v>
      </c>
      <c r="E17" s="233">
        <f>E18+E19</f>
        <v>5850</v>
      </c>
      <c r="F17" s="233">
        <f>F18+F19</f>
        <v>5853.14</v>
      </c>
      <c r="G17" s="233">
        <f>G18+G19</f>
        <v>0</v>
      </c>
      <c r="H17" s="138">
        <f t="shared" si="0"/>
        <v>100.05367521367521</v>
      </c>
    </row>
    <row r="18" spans="1:8" s="14" customFormat="1">
      <c r="A18" s="327"/>
      <c r="B18" s="748"/>
      <c r="C18" s="328" t="s">
        <v>42</v>
      </c>
      <c r="D18" s="250" t="s">
        <v>43</v>
      </c>
      <c r="E18" s="233">
        <v>0</v>
      </c>
      <c r="F18" s="233">
        <v>3.14</v>
      </c>
      <c r="G18" s="233">
        <v>0</v>
      </c>
      <c r="H18" s="138"/>
    </row>
    <row r="19" spans="1:8" s="14" customFormat="1" ht="33.75">
      <c r="A19" s="329"/>
      <c r="B19" s="750"/>
      <c r="C19" s="330">
        <v>2708</v>
      </c>
      <c r="D19" s="338" t="s">
        <v>405</v>
      </c>
      <c r="E19" s="233">
        <v>5850</v>
      </c>
      <c r="F19" s="233">
        <v>5850</v>
      </c>
      <c r="G19" s="233">
        <v>0</v>
      </c>
      <c r="H19" s="138">
        <f t="shared" si="0"/>
        <v>100</v>
      </c>
    </row>
    <row r="20" spans="1:8" s="14" customFormat="1">
      <c r="A20" s="161">
        <v>600</v>
      </c>
      <c r="B20" s="161"/>
      <c r="C20" s="161"/>
      <c r="D20" s="315" t="s">
        <v>36</v>
      </c>
      <c r="E20" s="313">
        <f>E21</f>
        <v>1843272</v>
      </c>
      <c r="F20" s="313">
        <f>F21</f>
        <v>207794.16</v>
      </c>
      <c r="G20" s="313">
        <f>G21</f>
        <v>1597214</v>
      </c>
      <c r="H20" s="231">
        <f t="shared" si="0"/>
        <v>97.924134907924596</v>
      </c>
    </row>
    <row r="21" spans="1:8" s="14" customFormat="1">
      <c r="A21" s="748"/>
      <c r="B21" s="282">
        <v>60014</v>
      </c>
      <c r="C21" s="282"/>
      <c r="D21" s="250" t="s">
        <v>37</v>
      </c>
      <c r="E21" s="233">
        <f>SUM(E22:E30)</f>
        <v>1843272</v>
      </c>
      <c r="F21" s="233">
        <f t="shared" ref="F21:G21" si="1">SUM(F22:F30)</f>
        <v>207794.16</v>
      </c>
      <c r="G21" s="233">
        <f t="shared" si="1"/>
        <v>1597214</v>
      </c>
      <c r="H21" s="138">
        <f t="shared" si="0"/>
        <v>97.924134907924596</v>
      </c>
    </row>
    <row r="22" spans="1:8" s="14" customFormat="1" ht="54.75" customHeight="1">
      <c r="A22" s="749"/>
      <c r="B22" s="748"/>
      <c r="C22" s="282" t="s">
        <v>31</v>
      </c>
      <c r="D22" s="316" t="s">
        <v>117</v>
      </c>
      <c r="E22" s="233">
        <v>5100</v>
      </c>
      <c r="F22" s="233">
        <v>5100</v>
      </c>
      <c r="G22" s="233">
        <v>0</v>
      </c>
      <c r="H22" s="138">
        <f t="shared" si="0"/>
        <v>100</v>
      </c>
    </row>
    <row r="23" spans="1:8" s="14" customFormat="1">
      <c r="A23" s="749"/>
      <c r="B23" s="749"/>
      <c r="C23" s="282" t="s">
        <v>40</v>
      </c>
      <c r="D23" s="250" t="s">
        <v>41</v>
      </c>
      <c r="E23" s="233">
        <v>627</v>
      </c>
      <c r="F23" s="233">
        <v>627.65</v>
      </c>
      <c r="G23" s="233">
        <v>0</v>
      </c>
      <c r="H23" s="138">
        <f t="shared" si="0"/>
        <v>100.103668261563</v>
      </c>
    </row>
    <row r="24" spans="1:8" s="14" customFormat="1" ht="22.5" customHeight="1">
      <c r="A24" s="749"/>
      <c r="B24" s="749"/>
      <c r="C24" s="314" t="s">
        <v>116</v>
      </c>
      <c r="D24" s="250" t="s">
        <v>343</v>
      </c>
      <c r="E24" s="233">
        <v>0</v>
      </c>
      <c r="F24" s="233">
        <v>10.9</v>
      </c>
      <c r="G24" s="233">
        <v>0</v>
      </c>
      <c r="H24" s="138"/>
    </row>
    <row r="25" spans="1:8" s="14" customFormat="1">
      <c r="A25" s="749"/>
      <c r="B25" s="749"/>
      <c r="C25" s="282" t="s">
        <v>42</v>
      </c>
      <c r="D25" s="250" t="s">
        <v>43</v>
      </c>
      <c r="E25" s="233">
        <v>1043</v>
      </c>
      <c r="F25" s="233">
        <v>3144.76</v>
      </c>
      <c r="G25" s="233">
        <v>0</v>
      </c>
      <c r="H25" s="138">
        <f t="shared" si="0"/>
        <v>301.51102588686484</v>
      </c>
    </row>
    <row r="26" spans="1:8" s="14" customFormat="1">
      <c r="A26" s="749"/>
      <c r="B26" s="749"/>
      <c r="C26" s="282" t="s">
        <v>27</v>
      </c>
      <c r="D26" s="250" t="s">
        <v>28</v>
      </c>
      <c r="E26" s="233">
        <v>184288</v>
      </c>
      <c r="F26" s="233">
        <v>143910.85</v>
      </c>
      <c r="G26" s="233">
        <v>0</v>
      </c>
      <c r="H26" s="138">
        <f t="shared" si="0"/>
        <v>78.09019035422817</v>
      </c>
    </row>
    <row r="27" spans="1:8" s="14" customFormat="1" ht="33.75">
      <c r="A27" s="749"/>
      <c r="B27" s="749"/>
      <c r="C27" s="282">
        <v>2440</v>
      </c>
      <c r="D27" s="250" t="s">
        <v>60</v>
      </c>
      <c r="E27" s="233">
        <v>35000</v>
      </c>
      <c r="F27" s="233">
        <v>35000</v>
      </c>
      <c r="G27" s="233">
        <v>0</v>
      </c>
      <c r="H27" s="138">
        <f t="shared" si="0"/>
        <v>100</v>
      </c>
    </row>
    <row r="28" spans="1:8" s="14" customFormat="1" ht="35.25" customHeight="1">
      <c r="A28" s="749"/>
      <c r="B28" s="749"/>
      <c r="C28" s="482">
        <v>2710</v>
      </c>
      <c r="D28" s="338" t="s">
        <v>407</v>
      </c>
      <c r="E28" s="233">
        <v>20000</v>
      </c>
      <c r="F28" s="233">
        <v>20000</v>
      </c>
      <c r="G28" s="233">
        <v>0</v>
      </c>
      <c r="H28" s="138">
        <f t="shared" si="0"/>
        <v>100</v>
      </c>
    </row>
    <row r="29" spans="1:8" s="14" customFormat="1" ht="46.5" customHeight="1">
      <c r="A29" s="749"/>
      <c r="B29" s="749"/>
      <c r="C29" s="482">
        <v>6300</v>
      </c>
      <c r="D29" s="250" t="s">
        <v>523</v>
      </c>
      <c r="E29" s="233">
        <v>100000</v>
      </c>
      <c r="F29" s="233">
        <v>0</v>
      </c>
      <c r="G29" s="233">
        <v>100000</v>
      </c>
      <c r="H29" s="138">
        <f t="shared" si="0"/>
        <v>100</v>
      </c>
    </row>
    <row r="30" spans="1:8" s="14" customFormat="1" ht="33.75" customHeight="1">
      <c r="A30" s="750"/>
      <c r="B30" s="750"/>
      <c r="C30" s="482">
        <v>6430</v>
      </c>
      <c r="D30" s="250" t="s">
        <v>519</v>
      </c>
      <c r="E30" s="233">
        <v>1497214</v>
      </c>
      <c r="F30" s="233">
        <v>0</v>
      </c>
      <c r="G30" s="233">
        <v>1497214</v>
      </c>
      <c r="H30" s="138">
        <f t="shared" si="0"/>
        <v>100</v>
      </c>
    </row>
    <row r="31" spans="1:8" s="14" customFormat="1">
      <c r="A31" s="161">
        <v>700</v>
      </c>
      <c r="B31" s="161"/>
      <c r="C31" s="161"/>
      <c r="D31" s="315" t="s">
        <v>44</v>
      </c>
      <c r="E31" s="313">
        <f>E32</f>
        <v>1049694</v>
      </c>
      <c r="F31" s="313">
        <f>F32</f>
        <v>59874.020000000011</v>
      </c>
      <c r="G31" s="313">
        <f>G32</f>
        <v>1032059.81</v>
      </c>
      <c r="H31" s="231">
        <f t="shared" si="0"/>
        <v>104.02401366493474</v>
      </c>
    </row>
    <row r="32" spans="1:8" s="14" customFormat="1">
      <c r="A32" s="744" t="s">
        <v>16</v>
      </c>
      <c r="B32" s="282">
        <v>70005</v>
      </c>
      <c r="C32" s="282"/>
      <c r="D32" s="250" t="s">
        <v>45</v>
      </c>
      <c r="E32" s="233">
        <f>SUM(E33:E38)</f>
        <v>1049694</v>
      </c>
      <c r="F32" s="233">
        <f>SUM(F33:F38)</f>
        <v>59874.020000000011</v>
      </c>
      <c r="G32" s="233">
        <f>SUM(G33:G38)</f>
        <v>1032059.81</v>
      </c>
      <c r="H32" s="138">
        <f t="shared" si="0"/>
        <v>104.02401366493474</v>
      </c>
    </row>
    <row r="33" spans="1:8" s="14" customFormat="1" ht="22.5">
      <c r="A33" s="744"/>
      <c r="B33" s="744"/>
      <c r="C33" s="282" t="s">
        <v>46</v>
      </c>
      <c r="D33" s="250" t="s">
        <v>47</v>
      </c>
      <c r="E33" s="233">
        <v>10300</v>
      </c>
      <c r="F33" s="233">
        <v>10542.69</v>
      </c>
      <c r="G33" s="233">
        <v>0</v>
      </c>
      <c r="H33" s="138">
        <f t="shared" si="0"/>
        <v>102.35621359223302</v>
      </c>
    </row>
    <row r="34" spans="1:8" s="14" customFormat="1" ht="57" customHeight="1">
      <c r="A34" s="744"/>
      <c r="B34" s="744"/>
      <c r="C34" s="282" t="s">
        <v>31</v>
      </c>
      <c r="D34" s="335" t="s">
        <v>117</v>
      </c>
      <c r="E34" s="233">
        <v>51464</v>
      </c>
      <c r="F34" s="233">
        <v>34130.97</v>
      </c>
      <c r="G34" s="233">
        <v>0</v>
      </c>
      <c r="H34" s="138">
        <f t="shared" si="0"/>
        <v>66.320087828384885</v>
      </c>
    </row>
    <row r="35" spans="1:8" s="14" customFormat="1" ht="22.5">
      <c r="A35" s="744"/>
      <c r="B35" s="744"/>
      <c r="C35" s="282" t="s">
        <v>48</v>
      </c>
      <c r="D35" s="250" t="s">
        <v>49</v>
      </c>
      <c r="E35" s="233">
        <v>978303</v>
      </c>
      <c r="F35" s="233">
        <v>0</v>
      </c>
      <c r="G35" s="233">
        <v>1032059.81</v>
      </c>
      <c r="H35" s="138">
        <f t="shared" si="0"/>
        <v>105.49490393058183</v>
      </c>
    </row>
    <row r="36" spans="1:8" s="14" customFormat="1" ht="23.25" customHeight="1">
      <c r="A36" s="744"/>
      <c r="B36" s="744"/>
      <c r="C36" s="314" t="s">
        <v>116</v>
      </c>
      <c r="D36" s="250" t="s">
        <v>343</v>
      </c>
      <c r="E36" s="233">
        <v>0</v>
      </c>
      <c r="F36" s="233">
        <v>71.55</v>
      </c>
      <c r="G36" s="233">
        <v>0</v>
      </c>
      <c r="H36" s="138"/>
    </row>
    <row r="37" spans="1:8" s="14" customFormat="1">
      <c r="A37" s="744"/>
      <c r="B37" s="744"/>
      <c r="C37" s="282" t="s">
        <v>42</v>
      </c>
      <c r="D37" s="250" t="s">
        <v>43</v>
      </c>
      <c r="E37" s="233">
        <v>2449</v>
      </c>
      <c r="F37" s="233">
        <v>7698.51</v>
      </c>
      <c r="G37" s="233">
        <v>0</v>
      </c>
      <c r="H37" s="138">
        <f t="shared" si="0"/>
        <v>314.35320538995512</v>
      </c>
    </row>
    <row r="38" spans="1:8" s="14" customFormat="1">
      <c r="A38" s="744"/>
      <c r="B38" s="744"/>
      <c r="C38" s="282" t="s">
        <v>27</v>
      </c>
      <c r="D38" s="250" t="s">
        <v>28</v>
      </c>
      <c r="E38" s="233">
        <v>7178</v>
      </c>
      <c r="F38" s="233">
        <v>7430.3</v>
      </c>
      <c r="G38" s="233">
        <v>0</v>
      </c>
      <c r="H38" s="138">
        <f t="shared" si="0"/>
        <v>103.51490665923654</v>
      </c>
    </row>
    <row r="39" spans="1:8" s="14" customFormat="1">
      <c r="A39" s="312">
        <v>750</v>
      </c>
      <c r="B39" s="321"/>
      <c r="C39" s="161"/>
      <c r="D39" s="315" t="s">
        <v>53</v>
      </c>
      <c r="E39" s="313">
        <f>E40+E46</f>
        <v>230504</v>
      </c>
      <c r="F39" s="342">
        <f>F40+F46</f>
        <v>261511.87</v>
      </c>
      <c r="G39" s="342">
        <f>G40+G46</f>
        <v>0</v>
      </c>
      <c r="H39" s="231">
        <f t="shared" si="0"/>
        <v>113.45220473397424</v>
      </c>
    </row>
    <row r="40" spans="1:8" s="14" customFormat="1">
      <c r="A40" s="743"/>
      <c r="B40" s="282">
        <v>75020</v>
      </c>
      <c r="C40" s="282"/>
      <c r="D40" s="250" t="s">
        <v>56</v>
      </c>
      <c r="E40" s="233">
        <f>SUM(E41:E45)</f>
        <v>219504</v>
      </c>
      <c r="F40" s="233">
        <f>SUM(F41:F45)</f>
        <v>260511.87</v>
      </c>
      <c r="G40" s="233">
        <f>SUM(G41:G45)</f>
        <v>0</v>
      </c>
      <c r="H40" s="138">
        <f t="shared" si="0"/>
        <v>118.68206046359064</v>
      </c>
    </row>
    <row r="41" spans="1:8" s="14" customFormat="1">
      <c r="A41" s="743"/>
      <c r="B41" s="749"/>
      <c r="C41" s="282" t="s">
        <v>38</v>
      </c>
      <c r="D41" s="127" t="s">
        <v>39</v>
      </c>
      <c r="E41" s="233">
        <v>0</v>
      </c>
      <c r="F41" s="233">
        <v>1241.1199999999999</v>
      </c>
      <c r="G41" s="233">
        <v>0</v>
      </c>
      <c r="H41" s="138"/>
    </row>
    <row r="42" spans="1:8" s="14" customFormat="1" ht="56.25">
      <c r="A42" s="743"/>
      <c r="B42" s="749"/>
      <c r="C42" s="314" t="s">
        <v>31</v>
      </c>
      <c r="D42" s="335" t="s">
        <v>117</v>
      </c>
      <c r="E42" s="233">
        <v>11439</v>
      </c>
      <c r="F42" s="233">
        <v>17403.53</v>
      </c>
      <c r="G42" s="233">
        <v>0</v>
      </c>
      <c r="H42" s="138">
        <f t="shared" si="0"/>
        <v>152.14205787219163</v>
      </c>
    </row>
    <row r="43" spans="1:8" s="14" customFormat="1">
      <c r="A43" s="743"/>
      <c r="B43" s="749"/>
      <c r="C43" s="314" t="s">
        <v>42</v>
      </c>
      <c r="D43" s="250" t="s">
        <v>43</v>
      </c>
      <c r="E43" s="233">
        <v>0</v>
      </c>
      <c r="F43" s="233">
        <v>5.78</v>
      </c>
      <c r="G43" s="233">
        <v>0</v>
      </c>
      <c r="H43" s="138"/>
    </row>
    <row r="44" spans="1:8" s="14" customFormat="1">
      <c r="A44" s="743"/>
      <c r="B44" s="749"/>
      <c r="C44" s="282" t="s">
        <v>27</v>
      </c>
      <c r="D44" s="250" t="s">
        <v>28</v>
      </c>
      <c r="E44" s="233">
        <v>58065</v>
      </c>
      <c r="F44" s="233">
        <v>91861.440000000002</v>
      </c>
      <c r="G44" s="233">
        <v>0</v>
      </c>
      <c r="H44" s="138">
        <f t="shared" si="0"/>
        <v>158.20449496254199</v>
      </c>
    </row>
    <row r="45" spans="1:8" s="14" customFormat="1" ht="36.75" customHeight="1">
      <c r="A45" s="743"/>
      <c r="B45" s="749"/>
      <c r="C45" s="282">
        <v>2440</v>
      </c>
      <c r="D45" s="250" t="s">
        <v>60</v>
      </c>
      <c r="E45" s="233">
        <v>150000</v>
      </c>
      <c r="F45" s="233">
        <v>150000</v>
      </c>
      <c r="G45" s="233">
        <v>0</v>
      </c>
      <c r="H45" s="138">
        <f t="shared" si="0"/>
        <v>100</v>
      </c>
    </row>
    <row r="46" spans="1:8" s="14" customFormat="1">
      <c r="A46" s="743"/>
      <c r="B46" s="282">
        <v>75075</v>
      </c>
      <c r="C46" s="282"/>
      <c r="D46" s="250" t="s">
        <v>137</v>
      </c>
      <c r="E46" s="233">
        <f>E47</f>
        <v>11000</v>
      </c>
      <c r="F46" s="233">
        <f>F47</f>
        <v>1000</v>
      </c>
      <c r="G46" s="233">
        <f>G47</f>
        <v>0</v>
      </c>
      <c r="H46" s="138">
        <f t="shared" si="0"/>
        <v>9.0909090909090917</v>
      </c>
    </row>
    <row r="47" spans="1:8" s="14" customFormat="1" ht="34.5" customHeight="1">
      <c r="A47" s="743"/>
      <c r="B47" s="282"/>
      <c r="C47" s="282">
        <v>2700</v>
      </c>
      <c r="D47" s="250" t="s">
        <v>347</v>
      </c>
      <c r="E47" s="233">
        <v>11000</v>
      </c>
      <c r="F47" s="233">
        <v>1000</v>
      </c>
      <c r="G47" s="233">
        <v>0</v>
      </c>
      <c r="H47" s="138">
        <f t="shared" si="0"/>
        <v>9.0909090909090917</v>
      </c>
    </row>
    <row r="48" spans="1:8" s="14" customFormat="1" ht="21">
      <c r="A48" s="512">
        <v>754</v>
      </c>
      <c r="B48" s="322"/>
      <c r="C48" s="322"/>
      <c r="D48" s="315" t="s">
        <v>63</v>
      </c>
      <c r="E48" s="324">
        <f>E49</f>
        <v>22000</v>
      </c>
      <c r="F48" s="324">
        <f>F49</f>
        <v>22000</v>
      </c>
      <c r="G48" s="324">
        <v>0</v>
      </c>
      <c r="H48" s="231">
        <f t="shared" si="0"/>
        <v>100</v>
      </c>
    </row>
    <row r="49" spans="1:8" s="14" customFormat="1">
      <c r="A49" s="769"/>
      <c r="B49" s="482">
        <v>75405</v>
      </c>
      <c r="C49" s="482"/>
      <c r="D49" s="250" t="s">
        <v>411</v>
      </c>
      <c r="E49" s="233">
        <f>E50</f>
        <v>22000</v>
      </c>
      <c r="F49" s="233">
        <f>F50</f>
        <v>22000</v>
      </c>
      <c r="G49" s="233">
        <v>0</v>
      </c>
      <c r="H49" s="138">
        <f t="shared" ref="H49:H50" si="2">(F49+G49)/E49*100</f>
        <v>100</v>
      </c>
    </row>
    <row r="50" spans="1:8" s="14" customFormat="1" ht="22.5">
      <c r="A50" s="770"/>
      <c r="B50" s="482"/>
      <c r="C50" s="314" t="s">
        <v>82</v>
      </c>
      <c r="D50" s="333" t="s">
        <v>524</v>
      </c>
      <c r="E50" s="233">
        <v>22000</v>
      </c>
      <c r="F50" s="233">
        <v>22000</v>
      </c>
      <c r="G50" s="233">
        <v>0</v>
      </c>
      <c r="H50" s="138">
        <f t="shared" si="2"/>
        <v>100</v>
      </c>
    </row>
    <row r="51" spans="1:8" s="14" customFormat="1" ht="31.5" customHeight="1">
      <c r="A51" s="161">
        <v>756</v>
      </c>
      <c r="B51" s="161"/>
      <c r="C51" s="161"/>
      <c r="D51" s="315" t="s">
        <v>336</v>
      </c>
      <c r="E51" s="313">
        <f>E52+E58</f>
        <v>6484315</v>
      </c>
      <c r="F51" s="313">
        <f>F52+F58</f>
        <v>6130550.0999999996</v>
      </c>
      <c r="G51" s="313">
        <f>G52+G58</f>
        <v>0</v>
      </c>
      <c r="H51" s="231">
        <f t="shared" si="0"/>
        <v>94.544298048444588</v>
      </c>
    </row>
    <row r="52" spans="1:8" s="232" customFormat="1" ht="21.75" customHeight="1">
      <c r="A52" s="748" t="s">
        <v>16</v>
      </c>
      <c r="B52" s="343">
        <v>75618</v>
      </c>
      <c r="C52" s="343"/>
      <c r="D52" s="333" t="s">
        <v>505</v>
      </c>
      <c r="E52" s="344">
        <f>SUM(E53:E57)</f>
        <v>1741370</v>
      </c>
      <c r="F52" s="344">
        <f>SUM(F53:F57)</f>
        <v>1812333.1</v>
      </c>
      <c r="G52" s="344">
        <f>SUM(G53:G57)</f>
        <v>0</v>
      </c>
      <c r="H52" s="138">
        <f t="shared" si="0"/>
        <v>104.07513050069772</v>
      </c>
    </row>
    <row r="53" spans="1:8" s="232" customFormat="1">
      <c r="A53" s="749"/>
      <c r="B53" s="766"/>
      <c r="C53" s="345" t="s">
        <v>57</v>
      </c>
      <c r="D53" s="333" t="s">
        <v>58</v>
      </c>
      <c r="E53" s="344">
        <v>734480</v>
      </c>
      <c r="F53" s="344">
        <v>781038.5</v>
      </c>
      <c r="G53" s="233">
        <v>0</v>
      </c>
      <c r="H53" s="138">
        <f t="shared" si="0"/>
        <v>106.33897451258032</v>
      </c>
    </row>
    <row r="54" spans="1:8" s="232" customFormat="1" ht="21.75" customHeight="1">
      <c r="A54" s="749"/>
      <c r="B54" s="767"/>
      <c r="C54" s="345" t="s">
        <v>402</v>
      </c>
      <c r="D54" s="333" t="s">
        <v>404</v>
      </c>
      <c r="E54" s="344">
        <v>990812</v>
      </c>
      <c r="F54" s="344">
        <v>1009192.76</v>
      </c>
      <c r="G54" s="233">
        <v>0</v>
      </c>
      <c r="H54" s="138">
        <f t="shared" si="0"/>
        <v>101.85512085037323</v>
      </c>
    </row>
    <row r="55" spans="1:8" s="232" customFormat="1">
      <c r="A55" s="749"/>
      <c r="B55" s="767"/>
      <c r="C55" s="345" t="s">
        <v>38</v>
      </c>
      <c r="D55" s="127" t="s">
        <v>39</v>
      </c>
      <c r="E55" s="344">
        <v>12208</v>
      </c>
      <c r="F55" s="344">
        <v>16190.8</v>
      </c>
      <c r="G55" s="233">
        <v>0</v>
      </c>
      <c r="H55" s="138">
        <f t="shared" si="0"/>
        <v>132.62450851900394</v>
      </c>
    </row>
    <row r="56" spans="1:8" s="232" customFormat="1" ht="55.5" customHeight="1">
      <c r="A56" s="749"/>
      <c r="B56" s="767"/>
      <c r="C56" s="345" t="s">
        <v>31</v>
      </c>
      <c r="D56" s="335" t="s">
        <v>117</v>
      </c>
      <c r="E56" s="344">
        <v>3000</v>
      </c>
      <c r="F56" s="344">
        <v>4135.62</v>
      </c>
      <c r="G56" s="233">
        <v>0</v>
      </c>
      <c r="H56" s="138">
        <f t="shared" si="0"/>
        <v>137.85399999999998</v>
      </c>
    </row>
    <row r="57" spans="1:8" s="232" customFormat="1" ht="21.75" customHeight="1">
      <c r="A57" s="749"/>
      <c r="B57" s="768"/>
      <c r="C57" s="345" t="s">
        <v>116</v>
      </c>
      <c r="D57" s="250" t="s">
        <v>343</v>
      </c>
      <c r="E57" s="344">
        <v>870</v>
      </c>
      <c r="F57" s="344">
        <v>1775.42</v>
      </c>
      <c r="G57" s="233">
        <v>0</v>
      </c>
      <c r="H57" s="138">
        <f t="shared" si="0"/>
        <v>204.0712643678161</v>
      </c>
    </row>
    <row r="58" spans="1:8" s="14" customFormat="1" ht="22.5">
      <c r="A58" s="749"/>
      <c r="B58" s="282">
        <v>75622</v>
      </c>
      <c r="C58" s="282"/>
      <c r="D58" s="336" t="s">
        <v>337</v>
      </c>
      <c r="E58" s="233">
        <f>E59+E60</f>
        <v>4742945</v>
      </c>
      <c r="F58" s="233">
        <f>F59+F60</f>
        <v>4318217</v>
      </c>
      <c r="G58" s="233">
        <f>G59+G60</f>
        <v>0</v>
      </c>
      <c r="H58" s="138">
        <f t="shared" si="0"/>
        <v>91.045057448484016</v>
      </c>
    </row>
    <row r="59" spans="1:8" s="14" customFormat="1">
      <c r="A59" s="749"/>
      <c r="B59" s="744"/>
      <c r="C59" s="282" t="s">
        <v>65</v>
      </c>
      <c r="D59" s="127" t="s">
        <v>66</v>
      </c>
      <c r="E59" s="233">
        <v>4592945</v>
      </c>
      <c r="F59" s="233">
        <v>4174998</v>
      </c>
      <c r="G59" s="233">
        <v>0</v>
      </c>
      <c r="H59" s="138">
        <f t="shared" si="0"/>
        <v>90.900239388888821</v>
      </c>
    </row>
    <row r="60" spans="1:8" s="14" customFormat="1">
      <c r="A60" s="749"/>
      <c r="B60" s="744"/>
      <c r="C60" s="282" t="s">
        <v>67</v>
      </c>
      <c r="D60" s="127" t="s">
        <v>68</v>
      </c>
      <c r="E60" s="233">
        <v>150000</v>
      </c>
      <c r="F60" s="233">
        <v>143219</v>
      </c>
      <c r="G60" s="233">
        <v>0</v>
      </c>
      <c r="H60" s="138">
        <f t="shared" si="0"/>
        <v>95.479333333333344</v>
      </c>
    </row>
    <row r="61" spans="1:8" s="14" customFormat="1">
      <c r="A61" s="161">
        <v>758</v>
      </c>
      <c r="B61" s="161"/>
      <c r="C61" s="161"/>
      <c r="D61" s="189" t="s">
        <v>69</v>
      </c>
      <c r="E61" s="313">
        <f>E62+E66+E68+E70+E64</f>
        <v>25682567</v>
      </c>
      <c r="F61" s="313">
        <f>F62+F66+F68+F70+F64</f>
        <v>25695943.629999999</v>
      </c>
      <c r="G61" s="313">
        <f>G62+G66+G68+G70+G64</f>
        <v>0</v>
      </c>
      <c r="H61" s="231">
        <f t="shared" si="0"/>
        <v>100.05208447426614</v>
      </c>
    </row>
    <row r="62" spans="1:8" s="14" customFormat="1">
      <c r="A62" s="744"/>
      <c r="B62" s="282">
        <v>75801</v>
      </c>
      <c r="C62" s="282"/>
      <c r="D62" s="127" t="s">
        <v>350</v>
      </c>
      <c r="E62" s="233">
        <f>E63</f>
        <v>16448345</v>
      </c>
      <c r="F62" s="233">
        <f>F63</f>
        <v>16448345</v>
      </c>
      <c r="G62" s="233">
        <f>G63</f>
        <v>0</v>
      </c>
      <c r="H62" s="138">
        <f t="shared" si="0"/>
        <v>100</v>
      </c>
    </row>
    <row r="63" spans="1:8" s="14" customFormat="1">
      <c r="A63" s="744"/>
      <c r="B63" s="282"/>
      <c r="C63" s="282">
        <v>2920</v>
      </c>
      <c r="D63" s="127" t="s">
        <v>71</v>
      </c>
      <c r="E63" s="233">
        <v>16448345</v>
      </c>
      <c r="F63" s="233">
        <v>16448345</v>
      </c>
      <c r="G63" s="233">
        <v>0</v>
      </c>
      <c r="H63" s="138">
        <f t="shared" si="0"/>
        <v>100</v>
      </c>
    </row>
    <row r="64" spans="1:8" s="14" customFormat="1" ht="22.5">
      <c r="A64" s="744"/>
      <c r="B64" s="282">
        <v>75802</v>
      </c>
      <c r="C64" s="282"/>
      <c r="D64" s="186" t="s">
        <v>72</v>
      </c>
      <c r="E64" s="233">
        <f>E65</f>
        <v>30449</v>
      </c>
      <c r="F64" s="233">
        <f>F65</f>
        <v>30449</v>
      </c>
      <c r="G64" s="233">
        <f>G65</f>
        <v>0</v>
      </c>
      <c r="H64" s="138">
        <f t="shared" si="0"/>
        <v>100</v>
      </c>
    </row>
    <row r="65" spans="1:8" s="14" customFormat="1">
      <c r="A65" s="744"/>
      <c r="B65" s="282"/>
      <c r="C65" s="282">
        <v>2760</v>
      </c>
      <c r="D65" s="127" t="s">
        <v>73</v>
      </c>
      <c r="E65" s="233">
        <v>30449</v>
      </c>
      <c r="F65" s="233">
        <v>30449</v>
      </c>
      <c r="G65" s="233">
        <v>0</v>
      </c>
      <c r="H65" s="138">
        <f t="shared" si="0"/>
        <v>100</v>
      </c>
    </row>
    <row r="66" spans="1:8" s="14" customFormat="1">
      <c r="A66" s="744"/>
      <c r="B66" s="282">
        <v>75803</v>
      </c>
      <c r="C66" s="282"/>
      <c r="D66" s="127" t="s">
        <v>74</v>
      </c>
      <c r="E66" s="233">
        <f>E67</f>
        <v>7606022</v>
      </c>
      <c r="F66" s="233">
        <f>F67</f>
        <v>7606022</v>
      </c>
      <c r="G66" s="233">
        <f>G67</f>
        <v>0</v>
      </c>
      <c r="H66" s="138">
        <f t="shared" si="0"/>
        <v>100</v>
      </c>
    </row>
    <row r="67" spans="1:8" s="14" customFormat="1">
      <c r="A67" s="744"/>
      <c r="B67" s="282"/>
      <c r="C67" s="282">
        <v>2920</v>
      </c>
      <c r="D67" s="127" t="s">
        <v>71</v>
      </c>
      <c r="E67" s="233">
        <v>7606022</v>
      </c>
      <c r="F67" s="233">
        <v>7606022</v>
      </c>
      <c r="G67" s="233">
        <v>0</v>
      </c>
      <c r="H67" s="138">
        <f t="shared" si="0"/>
        <v>100</v>
      </c>
    </row>
    <row r="68" spans="1:8" s="14" customFormat="1">
      <c r="A68" s="744"/>
      <c r="B68" s="282">
        <v>75814</v>
      </c>
      <c r="C68" s="282"/>
      <c r="D68" s="127" t="s">
        <v>338</v>
      </c>
      <c r="E68" s="233">
        <f>E69</f>
        <v>85820</v>
      </c>
      <c r="F68" s="233">
        <f>F69</f>
        <v>99196.63</v>
      </c>
      <c r="G68" s="233">
        <f>G69</f>
        <v>0</v>
      </c>
      <c r="H68" s="138">
        <f t="shared" si="0"/>
        <v>115.586844558378</v>
      </c>
    </row>
    <row r="69" spans="1:8" s="14" customFormat="1">
      <c r="A69" s="744"/>
      <c r="B69" s="282"/>
      <c r="C69" s="282" t="s">
        <v>42</v>
      </c>
      <c r="D69" s="127" t="s">
        <v>43</v>
      </c>
      <c r="E69" s="233">
        <v>85820</v>
      </c>
      <c r="F69" s="233">
        <v>99196.63</v>
      </c>
      <c r="G69" s="233">
        <v>0</v>
      </c>
      <c r="H69" s="138">
        <f t="shared" si="0"/>
        <v>115.586844558378</v>
      </c>
    </row>
    <row r="70" spans="1:8" s="14" customFormat="1">
      <c r="A70" s="744"/>
      <c r="B70" s="282">
        <v>75832</v>
      </c>
      <c r="C70" s="282"/>
      <c r="D70" s="127" t="s">
        <v>75</v>
      </c>
      <c r="E70" s="233">
        <f>E71</f>
        <v>1511931</v>
      </c>
      <c r="F70" s="233">
        <f>F71</f>
        <v>1511931</v>
      </c>
      <c r="G70" s="233">
        <f>G71</f>
        <v>0</v>
      </c>
      <c r="H70" s="138">
        <f t="shared" si="0"/>
        <v>100</v>
      </c>
    </row>
    <row r="71" spans="1:8" s="14" customFormat="1">
      <c r="A71" s="744"/>
      <c r="B71" s="282"/>
      <c r="C71" s="282">
        <v>2920</v>
      </c>
      <c r="D71" s="127" t="s">
        <v>71</v>
      </c>
      <c r="E71" s="233">
        <v>1511931</v>
      </c>
      <c r="F71" s="233">
        <v>1511931</v>
      </c>
      <c r="G71" s="233">
        <v>0</v>
      </c>
      <c r="H71" s="138">
        <f t="shared" si="0"/>
        <v>100</v>
      </c>
    </row>
    <row r="72" spans="1:8" s="14" customFormat="1">
      <c r="A72" s="161">
        <v>801</v>
      </c>
      <c r="B72" s="161"/>
      <c r="C72" s="161"/>
      <c r="D72" s="189" t="s">
        <v>76</v>
      </c>
      <c r="E72" s="313">
        <f>E73+E77+E88+E97+E102+E104</f>
        <v>407155.68</v>
      </c>
      <c r="F72" s="313">
        <f t="shared" ref="F72:G72" si="3">F73+F77+F88+F97+F102+F104</f>
        <v>420768.76999999996</v>
      </c>
      <c r="G72" s="313">
        <f t="shared" si="3"/>
        <v>0</v>
      </c>
      <c r="H72" s="231">
        <f t="shared" si="0"/>
        <v>103.34346066349853</v>
      </c>
    </row>
    <row r="73" spans="1:8" s="14" customFormat="1">
      <c r="A73" s="744"/>
      <c r="B73" s="282">
        <v>80102</v>
      </c>
      <c r="C73" s="282"/>
      <c r="D73" s="127" t="s">
        <v>77</v>
      </c>
      <c r="E73" s="233">
        <f>SUM(E74:E76)</f>
        <v>5650</v>
      </c>
      <c r="F73" s="233">
        <f>SUM(F74:F76)</f>
        <v>6637.4</v>
      </c>
      <c r="G73" s="233">
        <f>SUM(G74:G76)</f>
        <v>0</v>
      </c>
      <c r="H73" s="138">
        <f t="shared" si="0"/>
        <v>117.47610619469026</v>
      </c>
    </row>
    <row r="74" spans="1:8" s="14" customFormat="1" ht="55.5" customHeight="1">
      <c r="A74" s="744"/>
      <c r="B74" s="744"/>
      <c r="C74" s="282" t="s">
        <v>31</v>
      </c>
      <c r="D74" s="335" t="s">
        <v>117</v>
      </c>
      <c r="E74" s="233">
        <v>5200</v>
      </c>
      <c r="F74" s="233">
        <v>6220</v>
      </c>
      <c r="G74" s="233">
        <v>0</v>
      </c>
      <c r="H74" s="138">
        <f t="shared" si="0"/>
        <v>119.61538461538461</v>
      </c>
    </row>
    <row r="75" spans="1:8" s="14" customFormat="1">
      <c r="A75" s="744"/>
      <c r="B75" s="744"/>
      <c r="C75" s="282" t="s">
        <v>42</v>
      </c>
      <c r="D75" s="346" t="s">
        <v>43</v>
      </c>
      <c r="E75" s="233">
        <v>450</v>
      </c>
      <c r="F75" s="233">
        <v>381.4</v>
      </c>
      <c r="G75" s="233">
        <v>0</v>
      </c>
      <c r="H75" s="138">
        <f t="shared" si="0"/>
        <v>84.755555555555546</v>
      </c>
    </row>
    <row r="76" spans="1:8" s="14" customFormat="1">
      <c r="A76" s="744"/>
      <c r="B76" s="744"/>
      <c r="C76" s="282" t="s">
        <v>27</v>
      </c>
      <c r="D76" s="250" t="s">
        <v>28</v>
      </c>
      <c r="E76" s="233">
        <v>0</v>
      </c>
      <c r="F76" s="233">
        <v>36</v>
      </c>
      <c r="G76" s="233">
        <v>0</v>
      </c>
      <c r="H76" s="138"/>
    </row>
    <row r="77" spans="1:8" s="14" customFormat="1">
      <c r="A77" s="744"/>
      <c r="B77" s="282">
        <v>80120</v>
      </c>
      <c r="C77" s="282"/>
      <c r="D77" s="127" t="s">
        <v>79</v>
      </c>
      <c r="E77" s="233">
        <f>SUM(E78:E87)</f>
        <v>76008</v>
      </c>
      <c r="F77" s="233">
        <f>SUM(F78:F87)</f>
        <v>87188.619999999981</v>
      </c>
      <c r="G77" s="233">
        <f>SUM(G78:G87)</f>
        <v>0</v>
      </c>
      <c r="H77" s="138">
        <f t="shared" ref="H77:H131" si="4">(F77+G77)/E77*100</f>
        <v>114.70979370592566</v>
      </c>
    </row>
    <row r="78" spans="1:8" s="14" customFormat="1">
      <c r="A78" s="744"/>
      <c r="B78" s="744"/>
      <c r="C78" s="282" t="s">
        <v>38</v>
      </c>
      <c r="D78" s="127" t="s">
        <v>39</v>
      </c>
      <c r="E78" s="233">
        <v>607</v>
      </c>
      <c r="F78" s="233">
        <v>691.92</v>
      </c>
      <c r="G78" s="233">
        <v>0</v>
      </c>
      <c r="H78" s="138">
        <f t="shared" si="4"/>
        <v>113.99011532125205</v>
      </c>
    </row>
    <row r="79" spans="1:8" s="14" customFormat="1" ht="44.25" customHeight="1">
      <c r="A79" s="744"/>
      <c r="B79" s="744"/>
      <c r="C79" s="282" t="s">
        <v>31</v>
      </c>
      <c r="D79" s="347" t="s">
        <v>117</v>
      </c>
      <c r="E79" s="233">
        <v>48766</v>
      </c>
      <c r="F79" s="233">
        <v>61769.279999999999</v>
      </c>
      <c r="G79" s="233">
        <v>0</v>
      </c>
      <c r="H79" s="138">
        <f t="shared" si="4"/>
        <v>126.66464339908954</v>
      </c>
    </row>
    <row r="80" spans="1:8" s="14" customFormat="1">
      <c r="A80" s="744"/>
      <c r="B80" s="744"/>
      <c r="C80" s="314" t="s">
        <v>40</v>
      </c>
      <c r="D80" s="250" t="s">
        <v>41</v>
      </c>
      <c r="E80" s="233">
        <v>2700</v>
      </c>
      <c r="F80" s="233">
        <v>999.9</v>
      </c>
      <c r="G80" s="233">
        <v>0</v>
      </c>
      <c r="H80" s="138">
        <f t="shared" si="4"/>
        <v>37.033333333333331</v>
      </c>
    </row>
    <row r="81" spans="1:8" s="14" customFormat="1" ht="32.25" customHeight="1">
      <c r="A81" s="744"/>
      <c r="B81" s="744"/>
      <c r="C81" s="282" t="s">
        <v>80</v>
      </c>
      <c r="D81" s="250" t="s">
        <v>81</v>
      </c>
      <c r="E81" s="233">
        <v>0</v>
      </c>
      <c r="F81" s="233">
        <v>16</v>
      </c>
      <c r="G81" s="233">
        <v>0</v>
      </c>
      <c r="H81" s="138"/>
    </row>
    <row r="82" spans="1:8" s="14" customFormat="1">
      <c r="A82" s="744"/>
      <c r="B82" s="744"/>
      <c r="C82" s="282" t="s">
        <v>42</v>
      </c>
      <c r="D82" s="250" t="s">
        <v>43</v>
      </c>
      <c r="E82" s="233">
        <v>486</v>
      </c>
      <c r="F82" s="233">
        <v>699.64</v>
      </c>
      <c r="G82" s="233">
        <v>0</v>
      </c>
      <c r="H82" s="138">
        <f t="shared" si="4"/>
        <v>143.9588477366255</v>
      </c>
    </row>
    <row r="83" spans="1:8" s="14" customFormat="1" ht="23.25" customHeight="1">
      <c r="A83" s="744"/>
      <c r="B83" s="744"/>
      <c r="C83" s="282" t="s">
        <v>82</v>
      </c>
      <c r="D83" s="250" t="s">
        <v>342</v>
      </c>
      <c r="E83" s="233">
        <v>5000</v>
      </c>
      <c r="F83" s="233">
        <v>5000</v>
      </c>
      <c r="G83" s="233">
        <v>0</v>
      </c>
      <c r="H83" s="138">
        <f t="shared" si="4"/>
        <v>100</v>
      </c>
    </row>
    <row r="84" spans="1:8" s="14" customFormat="1">
      <c r="A84" s="744"/>
      <c r="B84" s="744"/>
      <c r="C84" s="282" t="s">
        <v>27</v>
      </c>
      <c r="D84" s="250" t="s">
        <v>28</v>
      </c>
      <c r="E84" s="233">
        <v>1605</v>
      </c>
      <c r="F84" s="233">
        <v>1034.04</v>
      </c>
      <c r="G84" s="233">
        <v>0</v>
      </c>
      <c r="H84" s="138">
        <f t="shared" si="4"/>
        <v>64.426168224299062</v>
      </c>
    </row>
    <row r="85" spans="1:8" s="14" customFormat="1" ht="33.75">
      <c r="A85" s="744"/>
      <c r="B85" s="744"/>
      <c r="C85" s="282">
        <v>2708</v>
      </c>
      <c r="D85" s="338" t="s">
        <v>405</v>
      </c>
      <c r="E85" s="233">
        <v>14844</v>
      </c>
      <c r="F85" s="233">
        <v>14843.48</v>
      </c>
      <c r="G85" s="233">
        <v>0</v>
      </c>
      <c r="H85" s="138">
        <f t="shared" si="4"/>
        <v>99.99649690110482</v>
      </c>
    </row>
    <row r="86" spans="1:8" s="14" customFormat="1" ht="35.25" customHeight="1">
      <c r="A86" s="744"/>
      <c r="B86" s="744"/>
      <c r="C86" s="482">
        <v>2710</v>
      </c>
      <c r="D86" s="338" t="s">
        <v>407</v>
      </c>
      <c r="E86" s="233">
        <v>2000</v>
      </c>
      <c r="F86" s="233">
        <v>2000</v>
      </c>
      <c r="G86" s="233">
        <v>0</v>
      </c>
      <c r="H86" s="138">
        <f t="shared" si="4"/>
        <v>100</v>
      </c>
    </row>
    <row r="87" spans="1:8" s="14" customFormat="1" ht="33.75">
      <c r="A87" s="744"/>
      <c r="B87" s="744"/>
      <c r="C87" s="282">
        <v>2910</v>
      </c>
      <c r="D87" s="337" t="s">
        <v>84</v>
      </c>
      <c r="E87" s="233">
        <v>0</v>
      </c>
      <c r="F87" s="233">
        <v>134.36000000000001</v>
      </c>
      <c r="G87" s="233">
        <v>0</v>
      </c>
      <c r="H87" s="138"/>
    </row>
    <row r="88" spans="1:8" s="14" customFormat="1">
      <c r="A88" s="744"/>
      <c r="B88" s="282">
        <v>80130</v>
      </c>
      <c r="C88" s="282"/>
      <c r="D88" s="127" t="s">
        <v>86</v>
      </c>
      <c r="E88" s="233">
        <f>SUM(E89:E96)</f>
        <v>97451</v>
      </c>
      <c r="F88" s="233">
        <f>SUM(F89:F96)</f>
        <v>97703.17</v>
      </c>
      <c r="G88" s="233">
        <f>SUM(G89:G96)</f>
        <v>0</v>
      </c>
      <c r="H88" s="138">
        <f t="shared" si="4"/>
        <v>100.25876594391028</v>
      </c>
    </row>
    <row r="89" spans="1:8" s="14" customFormat="1">
      <c r="A89" s="744"/>
      <c r="B89" s="744"/>
      <c r="C89" s="282" t="s">
        <v>38</v>
      </c>
      <c r="D89" s="127" t="s">
        <v>39</v>
      </c>
      <c r="E89" s="233">
        <v>1791</v>
      </c>
      <c r="F89" s="233">
        <v>1873.08</v>
      </c>
      <c r="G89" s="233">
        <v>0</v>
      </c>
      <c r="H89" s="138">
        <f t="shared" si="4"/>
        <v>104.58291457286433</v>
      </c>
    </row>
    <row r="90" spans="1:8" s="14" customFormat="1" ht="55.5" customHeight="1">
      <c r="A90" s="744"/>
      <c r="B90" s="744"/>
      <c r="C90" s="282" t="s">
        <v>31</v>
      </c>
      <c r="D90" s="347" t="s">
        <v>117</v>
      </c>
      <c r="E90" s="233">
        <v>69792</v>
      </c>
      <c r="F90" s="233">
        <v>69640.14</v>
      </c>
      <c r="G90" s="233">
        <v>0</v>
      </c>
      <c r="H90" s="138">
        <f t="shared" si="4"/>
        <v>99.782410591471802</v>
      </c>
    </row>
    <row r="91" spans="1:8" s="14" customFormat="1">
      <c r="A91" s="744"/>
      <c r="B91" s="744"/>
      <c r="C91" s="282" t="s">
        <v>40</v>
      </c>
      <c r="D91" s="250" t="s">
        <v>41</v>
      </c>
      <c r="E91" s="233">
        <v>5189</v>
      </c>
      <c r="F91" s="233">
        <v>5189.4799999999996</v>
      </c>
      <c r="G91" s="233">
        <v>0</v>
      </c>
      <c r="H91" s="138">
        <f t="shared" si="4"/>
        <v>100.00925033725187</v>
      </c>
    </row>
    <row r="92" spans="1:8" s="14" customFormat="1" ht="34.5" customHeight="1">
      <c r="A92" s="744"/>
      <c r="B92" s="744"/>
      <c r="C92" s="314" t="s">
        <v>80</v>
      </c>
      <c r="D92" s="250" t="s">
        <v>81</v>
      </c>
      <c r="E92" s="233">
        <v>0</v>
      </c>
      <c r="F92" s="233">
        <v>36</v>
      </c>
      <c r="G92" s="233">
        <v>0</v>
      </c>
      <c r="H92" s="138"/>
    </row>
    <row r="93" spans="1:8" s="14" customFormat="1">
      <c r="A93" s="744"/>
      <c r="B93" s="744"/>
      <c r="C93" s="282" t="s">
        <v>42</v>
      </c>
      <c r="D93" s="250" t="s">
        <v>43</v>
      </c>
      <c r="E93" s="233">
        <v>2406</v>
      </c>
      <c r="F93" s="233">
        <v>2403.19</v>
      </c>
      <c r="G93" s="233">
        <v>0</v>
      </c>
      <c r="H93" s="138">
        <f t="shared" si="4"/>
        <v>99.88320864505404</v>
      </c>
    </row>
    <row r="94" spans="1:8" s="14" customFormat="1" ht="12.75" customHeight="1">
      <c r="A94" s="744"/>
      <c r="B94" s="744"/>
      <c r="C94" s="314" t="s">
        <v>82</v>
      </c>
      <c r="D94" s="250" t="s">
        <v>342</v>
      </c>
      <c r="E94" s="233">
        <v>7000</v>
      </c>
      <c r="F94" s="233">
        <v>7000</v>
      </c>
      <c r="G94" s="233">
        <v>0</v>
      </c>
      <c r="H94" s="138">
        <f t="shared" si="4"/>
        <v>100</v>
      </c>
    </row>
    <row r="95" spans="1:8" s="14" customFormat="1">
      <c r="A95" s="744"/>
      <c r="B95" s="744"/>
      <c r="C95" s="282" t="s">
        <v>27</v>
      </c>
      <c r="D95" s="250" t="s">
        <v>28</v>
      </c>
      <c r="E95" s="233">
        <v>11273</v>
      </c>
      <c r="F95" s="233">
        <v>11288.28</v>
      </c>
      <c r="G95" s="233">
        <v>0</v>
      </c>
      <c r="H95" s="138">
        <f t="shared" si="4"/>
        <v>100.13554510777966</v>
      </c>
    </row>
    <row r="96" spans="1:8" s="14" customFormat="1" ht="33.75">
      <c r="A96" s="744"/>
      <c r="B96" s="744"/>
      <c r="C96" s="282">
        <v>2910</v>
      </c>
      <c r="D96" s="337" t="s">
        <v>84</v>
      </c>
      <c r="E96" s="233">
        <v>0</v>
      </c>
      <c r="F96" s="233">
        <v>273</v>
      </c>
      <c r="G96" s="233">
        <v>0</v>
      </c>
      <c r="H96" s="138"/>
    </row>
    <row r="97" spans="1:8" s="14" customFormat="1" ht="21.75" customHeight="1">
      <c r="A97" s="744"/>
      <c r="B97" s="282">
        <v>80140</v>
      </c>
      <c r="C97" s="282"/>
      <c r="D97" s="250" t="s">
        <v>406</v>
      </c>
      <c r="E97" s="233">
        <f>SUM(E98:E101)</f>
        <v>61125</v>
      </c>
      <c r="F97" s="233">
        <f>SUM(F98:F101)</f>
        <v>61128.04</v>
      </c>
      <c r="G97" s="233">
        <f>SUM(G98:G101)</f>
        <v>0</v>
      </c>
      <c r="H97" s="138">
        <f t="shared" si="4"/>
        <v>100.00497341513292</v>
      </c>
    </row>
    <row r="98" spans="1:8" s="14" customFormat="1" ht="54" customHeight="1">
      <c r="A98" s="744"/>
      <c r="B98" s="748"/>
      <c r="C98" s="282" t="s">
        <v>31</v>
      </c>
      <c r="D98" s="347" t="s">
        <v>117</v>
      </c>
      <c r="E98" s="233">
        <v>45980</v>
      </c>
      <c r="F98" s="233">
        <v>45979.92</v>
      </c>
      <c r="G98" s="233">
        <v>0</v>
      </c>
      <c r="H98" s="138">
        <f t="shared" si="4"/>
        <v>99.999826011309253</v>
      </c>
    </row>
    <row r="99" spans="1:8" s="14" customFormat="1">
      <c r="A99" s="744"/>
      <c r="B99" s="749"/>
      <c r="C99" s="282" t="s">
        <v>40</v>
      </c>
      <c r="D99" s="250" t="s">
        <v>41</v>
      </c>
      <c r="E99" s="233">
        <v>14265</v>
      </c>
      <c r="F99" s="233">
        <v>14265.43</v>
      </c>
      <c r="G99" s="233">
        <v>0</v>
      </c>
      <c r="H99" s="138">
        <f t="shared" si="4"/>
        <v>100.00301437083772</v>
      </c>
    </row>
    <row r="100" spans="1:8" s="14" customFormat="1">
      <c r="A100" s="744"/>
      <c r="B100" s="749"/>
      <c r="C100" s="314" t="s">
        <v>42</v>
      </c>
      <c r="D100" s="250" t="s">
        <v>43</v>
      </c>
      <c r="E100" s="233">
        <v>787</v>
      </c>
      <c r="F100" s="233">
        <v>789.29</v>
      </c>
      <c r="G100" s="233">
        <v>0</v>
      </c>
      <c r="H100" s="138">
        <f t="shared" si="4"/>
        <v>100.29097839898348</v>
      </c>
    </row>
    <row r="101" spans="1:8" s="14" customFormat="1">
      <c r="A101" s="744"/>
      <c r="B101" s="750"/>
      <c r="C101" s="282" t="s">
        <v>27</v>
      </c>
      <c r="D101" s="250" t="s">
        <v>28</v>
      </c>
      <c r="E101" s="233">
        <v>93</v>
      </c>
      <c r="F101" s="233">
        <v>93.4</v>
      </c>
      <c r="G101" s="233">
        <v>0</v>
      </c>
      <c r="H101" s="138">
        <f t="shared" si="4"/>
        <v>100.43010752688173</v>
      </c>
    </row>
    <row r="102" spans="1:8" s="14" customFormat="1">
      <c r="A102" s="744"/>
      <c r="B102" s="480">
        <v>80148</v>
      </c>
      <c r="C102" s="482"/>
      <c r="D102" s="250" t="s">
        <v>412</v>
      </c>
      <c r="E102" s="233">
        <f>E103</f>
        <v>156990</v>
      </c>
      <c r="F102" s="233">
        <f>F103</f>
        <v>158279.72</v>
      </c>
      <c r="G102" s="233">
        <v>0</v>
      </c>
      <c r="H102" s="138">
        <f t="shared" si="4"/>
        <v>100.82153003376011</v>
      </c>
    </row>
    <row r="103" spans="1:8" s="14" customFormat="1">
      <c r="A103" s="744"/>
      <c r="B103" s="480"/>
      <c r="C103" s="314" t="s">
        <v>40</v>
      </c>
      <c r="D103" s="250" t="s">
        <v>41</v>
      </c>
      <c r="E103" s="233">
        <v>156990</v>
      </c>
      <c r="F103" s="233">
        <v>158279.72</v>
      </c>
      <c r="G103" s="233">
        <v>0</v>
      </c>
      <c r="H103" s="138">
        <f t="shared" si="4"/>
        <v>100.82153003376011</v>
      </c>
    </row>
    <row r="104" spans="1:8" s="14" customFormat="1">
      <c r="A104" s="744"/>
      <c r="B104" s="282">
        <v>80195</v>
      </c>
      <c r="C104" s="282"/>
      <c r="D104" s="250" t="s">
        <v>88</v>
      </c>
      <c r="E104" s="233">
        <f>E105</f>
        <v>9931.68</v>
      </c>
      <c r="F104" s="233">
        <f>F105</f>
        <v>9831.82</v>
      </c>
      <c r="G104" s="233">
        <f>G105</f>
        <v>0</v>
      </c>
      <c r="H104" s="138">
        <f t="shared" si="4"/>
        <v>98.994530633286601</v>
      </c>
    </row>
    <row r="105" spans="1:8" s="14" customFormat="1" ht="21.75" customHeight="1">
      <c r="A105" s="744"/>
      <c r="B105" s="282"/>
      <c r="C105" s="282">
        <v>2130</v>
      </c>
      <c r="D105" s="250" t="s">
        <v>89</v>
      </c>
      <c r="E105" s="233">
        <v>9931.68</v>
      </c>
      <c r="F105" s="233">
        <v>9831.82</v>
      </c>
      <c r="G105" s="233">
        <v>0</v>
      </c>
      <c r="H105" s="138">
        <f t="shared" si="4"/>
        <v>98.994530633286601</v>
      </c>
    </row>
    <row r="106" spans="1:8" s="14" customFormat="1">
      <c r="A106" s="161">
        <v>851</v>
      </c>
      <c r="B106" s="161"/>
      <c r="C106" s="161"/>
      <c r="D106" s="189" t="s">
        <v>91</v>
      </c>
      <c r="E106" s="313">
        <f>E107</f>
        <v>43042</v>
      </c>
      <c r="F106" s="313">
        <f>F107</f>
        <v>14415.25</v>
      </c>
      <c r="G106" s="313">
        <f>G107</f>
        <v>29999.59</v>
      </c>
      <c r="H106" s="231">
        <f t="shared" si="4"/>
        <v>103.18953580223966</v>
      </c>
    </row>
    <row r="107" spans="1:8" s="14" customFormat="1">
      <c r="A107" s="744" t="s">
        <v>16</v>
      </c>
      <c r="B107" s="282">
        <v>85111</v>
      </c>
      <c r="C107" s="282"/>
      <c r="D107" s="127" t="s">
        <v>92</v>
      </c>
      <c r="E107" s="233">
        <f>SUM(E108:E109)</f>
        <v>43042</v>
      </c>
      <c r="F107" s="233">
        <f>SUM(F108:F109)</f>
        <v>14415.25</v>
      </c>
      <c r="G107" s="233">
        <f>SUM(G109:G109)</f>
        <v>29999.59</v>
      </c>
      <c r="H107" s="138">
        <f t="shared" si="4"/>
        <v>103.18953580223966</v>
      </c>
    </row>
    <row r="108" spans="1:8" s="14" customFormat="1">
      <c r="A108" s="744"/>
      <c r="B108" s="748"/>
      <c r="C108" s="314" t="s">
        <v>27</v>
      </c>
      <c r="D108" s="250" t="s">
        <v>28</v>
      </c>
      <c r="E108" s="233">
        <v>13042</v>
      </c>
      <c r="F108" s="233">
        <v>14415.25</v>
      </c>
      <c r="G108" s="233">
        <v>0</v>
      </c>
      <c r="H108" s="138">
        <f t="shared" si="4"/>
        <v>110.52944333691153</v>
      </c>
    </row>
    <row r="109" spans="1:8" s="14" customFormat="1" ht="46.5" customHeight="1">
      <c r="A109" s="744"/>
      <c r="B109" s="750"/>
      <c r="C109" s="282">
        <v>6300</v>
      </c>
      <c r="D109" s="250" t="s">
        <v>523</v>
      </c>
      <c r="E109" s="233">
        <v>30000</v>
      </c>
      <c r="F109" s="233">
        <v>0</v>
      </c>
      <c r="G109" s="233">
        <v>29999.59</v>
      </c>
      <c r="H109" s="138">
        <f t="shared" si="4"/>
        <v>99.998633333333331</v>
      </c>
    </row>
    <row r="110" spans="1:8" s="14" customFormat="1">
      <c r="A110" s="161">
        <v>852</v>
      </c>
      <c r="B110" s="161"/>
      <c r="C110" s="161"/>
      <c r="D110" s="315" t="s">
        <v>94</v>
      </c>
      <c r="E110" s="313">
        <f>E111+E118+E121+E125</f>
        <v>2296672</v>
      </c>
      <c r="F110" s="313">
        <f t="shared" ref="F110:G110" si="5">F111+F118+F121+F125</f>
        <v>2267254.3900000006</v>
      </c>
      <c r="G110" s="313">
        <f t="shared" si="5"/>
        <v>0</v>
      </c>
      <c r="H110" s="231">
        <f t="shared" si="4"/>
        <v>98.719120100737086</v>
      </c>
    </row>
    <row r="111" spans="1:8" s="14" customFormat="1">
      <c r="A111" s="748" t="s">
        <v>16</v>
      </c>
      <c r="B111" s="282">
        <v>85201</v>
      </c>
      <c r="C111" s="282"/>
      <c r="D111" s="250" t="s">
        <v>95</v>
      </c>
      <c r="E111" s="233">
        <f>SUM(E112:E117)</f>
        <v>152368</v>
      </c>
      <c r="F111" s="233">
        <f>SUM(F112:F117)</f>
        <v>153020.91</v>
      </c>
      <c r="G111" s="233">
        <f>SUM(G112:G117)</f>
        <v>0</v>
      </c>
      <c r="H111" s="138">
        <f t="shared" si="4"/>
        <v>100.42850861073191</v>
      </c>
    </row>
    <row r="112" spans="1:8" s="14" customFormat="1" ht="23.25" customHeight="1">
      <c r="A112" s="749"/>
      <c r="B112" s="748"/>
      <c r="C112" s="282" t="s">
        <v>96</v>
      </c>
      <c r="D112" s="186" t="s">
        <v>345</v>
      </c>
      <c r="E112" s="233">
        <v>8237</v>
      </c>
      <c r="F112" s="233">
        <v>8237.4599999999991</v>
      </c>
      <c r="G112" s="233">
        <v>0</v>
      </c>
      <c r="H112" s="138">
        <f t="shared" si="4"/>
        <v>100.00558455748451</v>
      </c>
    </row>
    <row r="113" spans="1:8" s="14" customFormat="1" ht="33.75">
      <c r="A113" s="749"/>
      <c r="B113" s="749"/>
      <c r="C113" s="314" t="s">
        <v>325</v>
      </c>
      <c r="D113" s="337" t="s">
        <v>399</v>
      </c>
      <c r="E113" s="233">
        <v>5471</v>
      </c>
      <c r="F113" s="233">
        <v>5470.76</v>
      </c>
      <c r="G113" s="233">
        <v>0</v>
      </c>
      <c r="H113" s="138">
        <f t="shared" si="4"/>
        <v>99.995613233412541</v>
      </c>
    </row>
    <row r="114" spans="1:8" s="14" customFormat="1">
      <c r="A114" s="749"/>
      <c r="B114" s="749"/>
      <c r="C114" s="282" t="s">
        <v>42</v>
      </c>
      <c r="D114" s="250" t="s">
        <v>43</v>
      </c>
      <c r="E114" s="233">
        <v>2538</v>
      </c>
      <c r="F114" s="233">
        <v>3189.86</v>
      </c>
      <c r="G114" s="233">
        <v>0</v>
      </c>
      <c r="H114" s="138">
        <f t="shared" si="4"/>
        <v>125.68400315208825</v>
      </c>
    </row>
    <row r="115" spans="1:8" s="14" customFormat="1" ht="23.25" customHeight="1">
      <c r="A115" s="749"/>
      <c r="B115" s="749"/>
      <c r="C115" s="282" t="s">
        <v>82</v>
      </c>
      <c r="D115" s="250" t="s">
        <v>83</v>
      </c>
      <c r="E115" s="233">
        <v>7983</v>
      </c>
      <c r="F115" s="233">
        <v>7983.43</v>
      </c>
      <c r="G115" s="233">
        <v>0</v>
      </c>
      <c r="H115" s="138">
        <f t="shared" si="4"/>
        <v>100.00538644619819</v>
      </c>
    </row>
    <row r="116" spans="1:8" s="14" customFormat="1">
      <c r="A116" s="749"/>
      <c r="B116" s="749"/>
      <c r="C116" s="282" t="s">
        <v>27</v>
      </c>
      <c r="D116" s="250" t="s">
        <v>28</v>
      </c>
      <c r="E116" s="233">
        <v>17</v>
      </c>
      <c r="F116" s="233">
        <v>17.399999999999999</v>
      </c>
      <c r="G116" s="233">
        <v>0</v>
      </c>
      <c r="H116" s="138">
        <f t="shared" si="4"/>
        <v>102.35294117647058</v>
      </c>
    </row>
    <row r="117" spans="1:8" s="14" customFormat="1" ht="21.75" customHeight="1">
      <c r="A117" s="749"/>
      <c r="B117" s="749"/>
      <c r="C117" s="282">
        <v>2130</v>
      </c>
      <c r="D117" s="250" t="s">
        <v>89</v>
      </c>
      <c r="E117" s="233">
        <v>128122</v>
      </c>
      <c r="F117" s="233">
        <v>128122</v>
      </c>
      <c r="G117" s="233">
        <v>0</v>
      </c>
      <c r="H117" s="138">
        <f t="shared" si="4"/>
        <v>100</v>
      </c>
    </row>
    <row r="118" spans="1:8" s="14" customFormat="1">
      <c r="A118" s="749"/>
      <c r="B118" s="282">
        <v>85202</v>
      </c>
      <c r="C118" s="282"/>
      <c r="D118" s="250" t="s">
        <v>97</v>
      </c>
      <c r="E118" s="233">
        <f>SUM(E119:E120)</f>
        <v>2055407</v>
      </c>
      <c r="F118" s="233">
        <f>SUM(F119:F120)</f>
        <v>2055407.12</v>
      </c>
      <c r="G118" s="233">
        <f>SUM(G119:G120)</f>
        <v>0</v>
      </c>
      <c r="H118" s="138">
        <f t="shared" si="4"/>
        <v>100.00000583825978</v>
      </c>
    </row>
    <row r="119" spans="1:8" s="14" customFormat="1" ht="55.5" customHeight="1">
      <c r="A119" s="749"/>
      <c r="B119" s="744"/>
      <c r="C119" s="282" t="s">
        <v>31</v>
      </c>
      <c r="D119" s="174" t="s">
        <v>117</v>
      </c>
      <c r="E119" s="233">
        <v>1900</v>
      </c>
      <c r="F119" s="233">
        <v>1900.12</v>
      </c>
      <c r="G119" s="233">
        <v>0</v>
      </c>
      <c r="H119" s="138">
        <f t="shared" si="4"/>
        <v>100.00631578947367</v>
      </c>
    </row>
    <row r="120" spans="1:8" s="14" customFormat="1" ht="22.5" customHeight="1">
      <c r="A120" s="749"/>
      <c r="B120" s="744"/>
      <c r="C120" s="282">
        <v>2130</v>
      </c>
      <c r="D120" s="250" t="s">
        <v>89</v>
      </c>
      <c r="E120" s="233">
        <v>2053507</v>
      </c>
      <c r="F120" s="233">
        <v>2053507</v>
      </c>
      <c r="G120" s="233">
        <v>0</v>
      </c>
      <c r="H120" s="138">
        <f t="shared" si="4"/>
        <v>100</v>
      </c>
    </row>
    <row r="121" spans="1:8" s="14" customFormat="1">
      <c r="A121" s="749"/>
      <c r="B121" s="282">
        <v>85204</v>
      </c>
      <c r="C121" s="282"/>
      <c r="D121" s="127" t="s">
        <v>100</v>
      </c>
      <c r="E121" s="233">
        <f>SUM(E122:E124)</f>
        <v>0</v>
      </c>
      <c r="F121" s="233">
        <f>SUM(F122:F124)</f>
        <v>430.66</v>
      </c>
      <c r="G121" s="233">
        <f>SUM(G123:G124)</f>
        <v>0</v>
      </c>
      <c r="H121" s="138"/>
    </row>
    <row r="122" spans="1:8" s="14" customFormat="1">
      <c r="A122" s="749"/>
      <c r="B122" s="748"/>
      <c r="C122" s="314" t="s">
        <v>38</v>
      </c>
      <c r="D122" s="440" t="s">
        <v>39</v>
      </c>
      <c r="E122" s="233">
        <v>0</v>
      </c>
      <c r="F122" s="233">
        <v>317.62</v>
      </c>
      <c r="G122" s="233">
        <v>0</v>
      </c>
      <c r="H122" s="138"/>
    </row>
    <row r="123" spans="1:8" s="14" customFormat="1">
      <c r="A123" s="749"/>
      <c r="B123" s="749"/>
      <c r="C123" s="314" t="s">
        <v>42</v>
      </c>
      <c r="D123" s="127" t="s">
        <v>43</v>
      </c>
      <c r="E123" s="233">
        <v>0</v>
      </c>
      <c r="F123" s="233">
        <v>6.6</v>
      </c>
      <c r="G123" s="233">
        <v>0</v>
      </c>
      <c r="H123" s="138"/>
    </row>
    <row r="124" spans="1:8" s="14" customFormat="1">
      <c r="A124" s="749"/>
      <c r="B124" s="750"/>
      <c r="C124" s="282" t="s">
        <v>27</v>
      </c>
      <c r="D124" s="250" t="s">
        <v>28</v>
      </c>
      <c r="E124" s="233">
        <v>0</v>
      </c>
      <c r="F124" s="233">
        <v>106.44</v>
      </c>
      <c r="G124" s="233">
        <v>0</v>
      </c>
      <c r="H124" s="138"/>
    </row>
    <row r="125" spans="1:8" s="14" customFormat="1">
      <c r="A125" s="749"/>
      <c r="B125" s="282">
        <v>85218</v>
      </c>
      <c r="C125" s="282"/>
      <c r="D125" s="250" t="s">
        <v>101</v>
      </c>
      <c r="E125" s="233">
        <f>SUM(E126:E130)</f>
        <v>88897</v>
      </c>
      <c r="F125" s="233">
        <f>SUM(F126:F130)</f>
        <v>58395.7</v>
      </c>
      <c r="G125" s="233">
        <f>SUM(G126:G130)</f>
        <v>0</v>
      </c>
      <c r="H125" s="138">
        <f t="shared" si="4"/>
        <v>65.689168363386841</v>
      </c>
    </row>
    <row r="126" spans="1:8" s="14" customFormat="1" ht="57" customHeight="1">
      <c r="A126" s="749"/>
      <c r="B126" s="744"/>
      <c r="C126" s="282" t="s">
        <v>31</v>
      </c>
      <c r="D126" s="174" t="s">
        <v>117</v>
      </c>
      <c r="E126" s="233">
        <v>42836</v>
      </c>
      <c r="F126" s="233">
        <v>33912.22</v>
      </c>
      <c r="G126" s="233">
        <v>0</v>
      </c>
      <c r="H126" s="138">
        <f t="shared" si="4"/>
        <v>79.167569334204885</v>
      </c>
    </row>
    <row r="127" spans="1:8" s="14" customFormat="1">
      <c r="A127" s="749"/>
      <c r="B127" s="744"/>
      <c r="C127" s="282" t="s">
        <v>40</v>
      </c>
      <c r="D127" s="250" t="s">
        <v>41</v>
      </c>
      <c r="E127" s="233">
        <v>9252</v>
      </c>
      <c r="F127" s="233">
        <v>11570.34</v>
      </c>
      <c r="G127" s="233">
        <v>0</v>
      </c>
      <c r="H127" s="138">
        <f t="shared" si="4"/>
        <v>125.05771725032426</v>
      </c>
    </row>
    <row r="128" spans="1:8" s="14" customFormat="1">
      <c r="A128" s="749"/>
      <c r="B128" s="744"/>
      <c r="C128" s="282" t="s">
        <v>42</v>
      </c>
      <c r="D128" s="250" t="s">
        <v>43</v>
      </c>
      <c r="E128" s="233">
        <v>300</v>
      </c>
      <c r="F128" s="233">
        <v>2155.8000000000002</v>
      </c>
      <c r="G128" s="233">
        <v>0</v>
      </c>
      <c r="H128" s="138">
        <f t="shared" si="4"/>
        <v>718.60000000000014</v>
      </c>
    </row>
    <row r="129" spans="1:8" s="14" customFormat="1">
      <c r="A129" s="749"/>
      <c r="B129" s="744"/>
      <c r="C129" s="282" t="s">
        <v>27</v>
      </c>
      <c r="D129" s="250" t="s">
        <v>28</v>
      </c>
      <c r="E129" s="233">
        <v>30650</v>
      </c>
      <c r="F129" s="233">
        <v>5874</v>
      </c>
      <c r="G129" s="233">
        <v>0</v>
      </c>
      <c r="H129" s="138">
        <f t="shared" si="4"/>
        <v>19.164763458401303</v>
      </c>
    </row>
    <row r="130" spans="1:8" s="14" customFormat="1" ht="21.75" customHeight="1">
      <c r="A130" s="749"/>
      <c r="B130" s="744"/>
      <c r="C130" s="282">
        <v>2130</v>
      </c>
      <c r="D130" s="250" t="s">
        <v>89</v>
      </c>
      <c r="E130" s="233">
        <v>5859</v>
      </c>
      <c r="F130" s="233">
        <v>4883.34</v>
      </c>
      <c r="G130" s="233">
        <v>0</v>
      </c>
      <c r="H130" s="138">
        <f t="shared" si="4"/>
        <v>83.347670250896059</v>
      </c>
    </row>
    <row r="131" spans="1:8" s="14" customFormat="1" ht="12" customHeight="1">
      <c r="A131" s="161">
        <v>853</v>
      </c>
      <c r="B131" s="161"/>
      <c r="C131" s="161"/>
      <c r="D131" s="315" t="s">
        <v>102</v>
      </c>
      <c r="E131" s="313">
        <f>E132+E138</f>
        <v>1818119.8</v>
      </c>
      <c r="F131" s="313">
        <f t="shared" ref="F131:G131" si="6">F132+F138</f>
        <v>1782465.7000000002</v>
      </c>
      <c r="G131" s="313">
        <f t="shared" si="6"/>
        <v>306</v>
      </c>
      <c r="H131" s="231">
        <f t="shared" si="4"/>
        <v>98.055788182934933</v>
      </c>
    </row>
    <row r="132" spans="1:8">
      <c r="A132" s="767"/>
      <c r="B132" s="282">
        <v>85333</v>
      </c>
      <c r="C132" s="282"/>
      <c r="D132" s="250" t="s">
        <v>103</v>
      </c>
      <c r="E132" s="233">
        <f>SUM(E133:E137)</f>
        <v>767370</v>
      </c>
      <c r="F132" s="233">
        <f>SUM(F133:F137)</f>
        <v>767202.36</v>
      </c>
      <c r="G132" s="233">
        <f>SUM(G133:G137)</f>
        <v>306</v>
      </c>
      <c r="H132" s="138">
        <f t="shared" ref="H132:H167" si="7">(F132+G132)/E132*100</f>
        <v>100.01803041557527</v>
      </c>
    </row>
    <row r="133" spans="1:8" ht="59.25" customHeight="1">
      <c r="A133" s="767"/>
      <c r="B133" s="744"/>
      <c r="C133" s="282" t="s">
        <v>31</v>
      </c>
      <c r="D133" s="174" t="s">
        <v>117</v>
      </c>
      <c r="E133" s="233">
        <v>8100</v>
      </c>
      <c r="F133" s="233">
        <v>8100</v>
      </c>
      <c r="G133" s="233">
        <v>0</v>
      </c>
      <c r="H133" s="138">
        <f t="shared" si="7"/>
        <v>100</v>
      </c>
    </row>
    <row r="134" spans="1:8" ht="13.5" customHeight="1">
      <c r="A134" s="767"/>
      <c r="B134" s="744"/>
      <c r="C134" s="314" t="s">
        <v>59</v>
      </c>
      <c r="D134" s="338" t="s">
        <v>348</v>
      </c>
      <c r="E134" s="233">
        <v>306</v>
      </c>
      <c r="F134" s="233">
        <v>0</v>
      </c>
      <c r="G134" s="233">
        <v>306</v>
      </c>
      <c r="H134" s="138">
        <f t="shared" si="7"/>
        <v>100</v>
      </c>
    </row>
    <row r="135" spans="1:8">
      <c r="A135" s="767"/>
      <c r="B135" s="744"/>
      <c r="C135" s="282" t="s">
        <v>42</v>
      </c>
      <c r="D135" s="250" t="s">
        <v>43</v>
      </c>
      <c r="E135" s="233">
        <v>2170</v>
      </c>
      <c r="F135" s="233">
        <v>2478.35</v>
      </c>
      <c r="G135" s="233">
        <v>0</v>
      </c>
      <c r="H135" s="138">
        <f t="shared" si="7"/>
        <v>114.20967741935483</v>
      </c>
    </row>
    <row r="136" spans="1:8">
      <c r="A136" s="767"/>
      <c r="B136" s="744"/>
      <c r="C136" s="282" t="s">
        <v>27</v>
      </c>
      <c r="D136" s="250" t="s">
        <v>28</v>
      </c>
      <c r="E136" s="233">
        <v>394</v>
      </c>
      <c r="F136" s="233">
        <v>224.01</v>
      </c>
      <c r="G136" s="233">
        <v>0</v>
      </c>
      <c r="H136" s="138">
        <f t="shared" si="7"/>
        <v>56.855329949238573</v>
      </c>
    </row>
    <row r="137" spans="1:8" ht="32.25" customHeight="1">
      <c r="A137" s="767"/>
      <c r="B137" s="744"/>
      <c r="C137" s="282">
        <v>2440</v>
      </c>
      <c r="D137" s="250" t="s">
        <v>60</v>
      </c>
      <c r="E137" s="233">
        <v>756400</v>
      </c>
      <c r="F137" s="233">
        <v>756400</v>
      </c>
      <c r="G137" s="233">
        <v>0</v>
      </c>
      <c r="H137" s="138">
        <f t="shared" si="7"/>
        <v>100</v>
      </c>
    </row>
    <row r="138" spans="1:8">
      <c r="A138" s="767"/>
      <c r="B138" s="282">
        <v>85395</v>
      </c>
      <c r="C138" s="282"/>
      <c r="D138" s="250" t="s">
        <v>88</v>
      </c>
      <c r="E138" s="233">
        <f>SUM(E139:E143)</f>
        <v>1050749.8</v>
      </c>
      <c r="F138" s="233">
        <f>SUM(F139:F143)</f>
        <v>1015263.3400000001</v>
      </c>
      <c r="G138" s="233">
        <f>SUM(G139:G143)</f>
        <v>0</v>
      </c>
      <c r="H138" s="138">
        <f t="shared" si="7"/>
        <v>96.622748821841327</v>
      </c>
    </row>
    <row r="139" spans="1:8">
      <c r="A139" s="767"/>
      <c r="B139" s="748"/>
      <c r="C139" s="314" t="s">
        <v>42</v>
      </c>
      <c r="D139" s="250" t="s">
        <v>43</v>
      </c>
      <c r="E139" s="233">
        <v>1208</v>
      </c>
      <c r="F139" s="233">
        <v>2593.9499999999998</v>
      </c>
      <c r="G139" s="233">
        <v>0</v>
      </c>
      <c r="H139" s="138">
        <f t="shared" si="7"/>
        <v>214.73096026490066</v>
      </c>
    </row>
    <row r="140" spans="1:8" ht="22.5">
      <c r="A140" s="767"/>
      <c r="B140" s="749"/>
      <c r="C140" s="282">
        <v>2008</v>
      </c>
      <c r="D140" s="340" t="s">
        <v>408</v>
      </c>
      <c r="E140" s="233">
        <v>931834.05</v>
      </c>
      <c r="F140" s="233">
        <v>929132.04</v>
      </c>
      <c r="G140" s="233">
        <v>0</v>
      </c>
      <c r="H140" s="138">
        <f t="shared" si="7"/>
        <v>99.710033133045528</v>
      </c>
    </row>
    <row r="141" spans="1:8" ht="22.5">
      <c r="A141" s="767"/>
      <c r="B141" s="749"/>
      <c r="C141" s="282">
        <v>2009</v>
      </c>
      <c r="D141" s="340" t="s">
        <v>408</v>
      </c>
      <c r="E141" s="233">
        <v>49707.75</v>
      </c>
      <c r="F141" s="233">
        <v>49567.17</v>
      </c>
      <c r="G141" s="233">
        <v>0</v>
      </c>
      <c r="H141" s="138">
        <f t="shared" si="7"/>
        <v>99.717186957768149</v>
      </c>
    </row>
    <row r="142" spans="1:8" ht="33" customHeight="1">
      <c r="A142" s="767"/>
      <c r="B142" s="749"/>
      <c r="C142" s="282">
        <v>2440</v>
      </c>
      <c r="D142" s="174" t="s">
        <v>60</v>
      </c>
      <c r="E142" s="233">
        <v>68000</v>
      </c>
      <c r="F142" s="233">
        <v>33966.019999999997</v>
      </c>
      <c r="G142" s="233">
        <v>0</v>
      </c>
      <c r="H142" s="138">
        <f t="shared" si="7"/>
        <v>49.950029411764703</v>
      </c>
    </row>
    <row r="143" spans="1:8" ht="33.75">
      <c r="A143" s="767"/>
      <c r="B143" s="749"/>
      <c r="C143" s="282">
        <v>2910</v>
      </c>
      <c r="D143" s="337" t="s">
        <v>84</v>
      </c>
      <c r="E143" s="233">
        <v>0</v>
      </c>
      <c r="F143" s="233">
        <v>4.16</v>
      </c>
      <c r="G143" s="233">
        <v>0</v>
      </c>
      <c r="H143" s="138"/>
    </row>
    <row r="144" spans="1:8">
      <c r="A144" s="161">
        <v>854</v>
      </c>
      <c r="B144" s="161"/>
      <c r="C144" s="161"/>
      <c r="D144" s="315" t="s">
        <v>105</v>
      </c>
      <c r="E144" s="313">
        <f>E145+E150+E155+E159+E161</f>
        <v>84752</v>
      </c>
      <c r="F144" s="313">
        <f>F145+F150+F155+F159+F161</f>
        <v>75952.679999999993</v>
      </c>
      <c r="G144" s="313">
        <f>G145+G150+G155+G159+G161</f>
        <v>3653.26</v>
      </c>
      <c r="H144" s="231">
        <f t="shared" si="7"/>
        <v>93.928096092127603</v>
      </c>
    </row>
    <row r="145" spans="1:8" ht="22.5">
      <c r="A145" s="744"/>
      <c r="B145" s="282">
        <v>85406</v>
      </c>
      <c r="C145" s="282"/>
      <c r="D145" s="250" t="s">
        <v>106</v>
      </c>
      <c r="E145" s="233">
        <f>SUM(E146:E149)</f>
        <v>19342</v>
      </c>
      <c r="F145" s="233">
        <f>SUM(F146:F149)</f>
        <v>19489.78</v>
      </c>
      <c r="G145" s="233">
        <f>SUM(G147:G149)</f>
        <v>0</v>
      </c>
      <c r="H145" s="138">
        <f t="shared" si="7"/>
        <v>100.76403681108468</v>
      </c>
    </row>
    <row r="146" spans="1:8">
      <c r="A146" s="744"/>
      <c r="B146" s="748"/>
      <c r="C146" s="314" t="s">
        <v>38</v>
      </c>
      <c r="D146" s="440" t="s">
        <v>39</v>
      </c>
      <c r="E146" s="233">
        <v>0</v>
      </c>
      <c r="F146" s="233">
        <v>86.01</v>
      </c>
      <c r="G146" s="233">
        <v>0</v>
      </c>
      <c r="H146" s="138"/>
    </row>
    <row r="147" spans="1:8" ht="56.25" customHeight="1">
      <c r="A147" s="744"/>
      <c r="B147" s="749"/>
      <c r="C147" s="282" t="s">
        <v>31</v>
      </c>
      <c r="D147" s="174" t="s">
        <v>117</v>
      </c>
      <c r="E147" s="233">
        <v>17009</v>
      </c>
      <c r="F147" s="233">
        <v>17583.77</v>
      </c>
      <c r="G147" s="233">
        <v>0</v>
      </c>
      <c r="H147" s="138">
        <f t="shared" si="7"/>
        <v>103.37921100593803</v>
      </c>
    </row>
    <row r="148" spans="1:8">
      <c r="A148" s="744"/>
      <c r="B148" s="749"/>
      <c r="C148" s="282" t="s">
        <v>42</v>
      </c>
      <c r="D148" s="250" t="s">
        <v>43</v>
      </c>
      <c r="E148" s="233">
        <v>800</v>
      </c>
      <c r="F148" s="233">
        <v>277.13</v>
      </c>
      <c r="G148" s="233">
        <v>0</v>
      </c>
      <c r="H148" s="138">
        <f t="shared" si="7"/>
        <v>34.641249999999999</v>
      </c>
    </row>
    <row r="149" spans="1:8">
      <c r="A149" s="744"/>
      <c r="B149" s="750"/>
      <c r="C149" s="314" t="s">
        <v>27</v>
      </c>
      <c r="D149" s="250" t="s">
        <v>28</v>
      </c>
      <c r="E149" s="233">
        <v>1533</v>
      </c>
      <c r="F149" s="233">
        <v>1542.87</v>
      </c>
      <c r="G149" s="233">
        <v>0</v>
      </c>
      <c r="H149" s="138">
        <f t="shared" si="7"/>
        <v>100.64383561643835</v>
      </c>
    </row>
    <row r="150" spans="1:8">
      <c r="A150" s="744"/>
      <c r="B150" s="282">
        <v>85407</v>
      </c>
      <c r="C150" s="282"/>
      <c r="D150" s="250" t="s">
        <v>107</v>
      </c>
      <c r="E150" s="233">
        <f>SUM(E151:E154)</f>
        <v>14064</v>
      </c>
      <c r="F150" s="233">
        <f>SUM(F151:F154)</f>
        <v>8670.4599999999991</v>
      </c>
      <c r="G150" s="233">
        <f>SUM(G151:G154)</f>
        <v>0</v>
      </c>
      <c r="H150" s="138">
        <f t="shared" si="7"/>
        <v>61.65002844141069</v>
      </c>
    </row>
    <row r="151" spans="1:8" ht="56.25" customHeight="1">
      <c r="A151" s="744"/>
      <c r="B151" s="744"/>
      <c r="C151" s="282" t="s">
        <v>31</v>
      </c>
      <c r="D151" s="174" t="s">
        <v>117</v>
      </c>
      <c r="E151" s="233">
        <v>4050</v>
      </c>
      <c r="F151" s="233">
        <v>5310</v>
      </c>
      <c r="G151" s="233">
        <v>0</v>
      </c>
      <c r="H151" s="138">
        <f t="shared" si="7"/>
        <v>131.11111111111111</v>
      </c>
    </row>
    <row r="152" spans="1:8">
      <c r="A152" s="744"/>
      <c r="B152" s="744"/>
      <c r="C152" s="282" t="s">
        <v>40</v>
      </c>
      <c r="D152" s="127" t="s">
        <v>41</v>
      </c>
      <c r="E152" s="233">
        <v>9090</v>
      </c>
      <c r="F152" s="233">
        <v>2975</v>
      </c>
      <c r="G152" s="233">
        <v>0</v>
      </c>
      <c r="H152" s="138">
        <f t="shared" si="7"/>
        <v>32.72827282728273</v>
      </c>
    </row>
    <row r="153" spans="1:8">
      <c r="A153" s="744"/>
      <c r="B153" s="744"/>
      <c r="C153" s="282" t="s">
        <v>42</v>
      </c>
      <c r="D153" s="250" t="s">
        <v>43</v>
      </c>
      <c r="E153" s="233">
        <v>849</v>
      </c>
      <c r="F153" s="233">
        <v>310.45999999999998</v>
      </c>
      <c r="G153" s="233">
        <v>0</v>
      </c>
      <c r="H153" s="138">
        <f t="shared" si="7"/>
        <v>36.567726737338042</v>
      </c>
    </row>
    <row r="154" spans="1:8">
      <c r="A154" s="744"/>
      <c r="B154" s="744"/>
      <c r="C154" s="282" t="s">
        <v>27</v>
      </c>
      <c r="D154" s="250" t="s">
        <v>28</v>
      </c>
      <c r="E154" s="233">
        <v>75</v>
      </c>
      <c r="F154" s="233">
        <v>75</v>
      </c>
      <c r="G154" s="233">
        <v>0</v>
      </c>
      <c r="H154" s="138">
        <f t="shared" si="7"/>
        <v>100</v>
      </c>
    </row>
    <row r="155" spans="1:8">
      <c r="A155" s="744"/>
      <c r="B155" s="282">
        <v>85410</v>
      </c>
      <c r="C155" s="282"/>
      <c r="D155" s="250" t="s">
        <v>108</v>
      </c>
      <c r="E155" s="233">
        <f>SUM(E156:E158)</f>
        <v>26525</v>
      </c>
      <c r="F155" s="233">
        <f>SUM(F156:F158)</f>
        <v>23468.41</v>
      </c>
      <c r="G155" s="233">
        <f>SUM(G156:G158)</f>
        <v>3653.26</v>
      </c>
      <c r="H155" s="138">
        <f t="shared" si="7"/>
        <v>102.24946277097078</v>
      </c>
    </row>
    <row r="156" spans="1:8" ht="54" customHeight="1">
      <c r="A156" s="744"/>
      <c r="B156" s="748"/>
      <c r="C156" s="282" t="s">
        <v>31</v>
      </c>
      <c r="D156" s="174" t="s">
        <v>117</v>
      </c>
      <c r="E156" s="233">
        <v>20950</v>
      </c>
      <c r="F156" s="233">
        <v>21546.41</v>
      </c>
      <c r="G156" s="233">
        <v>0</v>
      </c>
      <c r="H156" s="138">
        <f t="shared" si="7"/>
        <v>102.84682577565631</v>
      </c>
    </row>
    <row r="157" spans="1:8">
      <c r="A157" s="744"/>
      <c r="B157" s="749"/>
      <c r="C157" s="282" t="s">
        <v>40</v>
      </c>
      <c r="D157" s="127" t="s">
        <v>41</v>
      </c>
      <c r="E157" s="233">
        <v>1922</v>
      </c>
      <c r="F157" s="233">
        <v>1922</v>
      </c>
      <c r="G157" s="233">
        <v>0</v>
      </c>
      <c r="H157" s="138">
        <f t="shared" si="7"/>
        <v>100</v>
      </c>
    </row>
    <row r="158" spans="1:8" ht="11.25" customHeight="1">
      <c r="A158" s="744"/>
      <c r="B158" s="750"/>
      <c r="C158" s="314" t="s">
        <v>59</v>
      </c>
      <c r="D158" s="331" t="s">
        <v>348</v>
      </c>
      <c r="E158" s="233">
        <v>3653</v>
      </c>
      <c r="F158" s="233"/>
      <c r="G158" s="233">
        <v>3653.26</v>
      </c>
      <c r="H158" s="138">
        <f t="shared" si="7"/>
        <v>100.00711743772244</v>
      </c>
    </row>
    <row r="159" spans="1:8">
      <c r="A159" s="744"/>
      <c r="B159" s="282">
        <v>85415</v>
      </c>
      <c r="C159" s="282"/>
      <c r="D159" s="250" t="s">
        <v>109</v>
      </c>
      <c r="E159" s="233">
        <f>SUM(E160:E160)</f>
        <v>21</v>
      </c>
      <c r="F159" s="233">
        <f>SUM(F160:F160)</f>
        <v>102.82</v>
      </c>
      <c r="G159" s="233">
        <f>SUM(G160:G160)</f>
        <v>0</v>
      </c>
      <c r="H159" s="138">
        <f t="shared" si="7"/>
        <v>489.61904761904759</v>
      </c>
    </row>
    <row r="160" spans="1:8">
      <c r="A160" s="744"/>
      <c r="B160" s="282"/>
      <c r="C160" s="314" t="s">
        <v>42</v>
      </c>
      <c r="D160" s="250" t="s">
        <v>43</v>
      </c>
      <c r="E160" s="233">
        <v>21</v>
      </c>
      <c r="F160" s="233">
        <v>102.82</v>
      </c>
      <c r="G160" s="233">
        <v>0</v>
      </c>
      <c r="H160" s="138">
        <f t="shared" si="7"/>
        <v>489.61904761904759</v>
      </c>
    </row>
    <row r="161" spans="1:8">
      <c r="A161" s="744"/>
      <c r="B161" s="282">
        <v>85420</v>
      </c>
      <c r="C161" s="282"/>
      <c r="D161" s="250" t="s">
        <v>110</v>
      </c>
      <c r="E161" s="233">
        <f>SUM(E162:E163)</f>
        <v>24800</v>
      </c>
      <c r="F161" s="233">
        <f>SUM(F162:F163)</f>
        <v>24221.210000000003</v>
      </c>
      <c r="G161" s="233">
        <f>SUM(G162:G163)</f>
        <v>0</v>
      </c>
      <c r="H161" s="138">
        <f t="shared" si="7"/>
        <v>97.666169354838715</v>
      </c>
    </row>
    <row r="162" spans="1:8">
      <c r="A162" s="744"/>
      <c r="B162" s="744"/>
      <c r="C162" s="314" t="s">
        <v>40</v>
      </c>
      <c r="D162" s="127" t="s">
        <v>41</v>
      </c>
      <c r="E162" s="233">
        <v>24000</v>
      </c>
      <c r="F162" s="233">
        <v>23696.31</v>
      </c>
      <c r="G162" s="233">
        <v>0</v>
      </c>
      <c r="H162" s="138">
        <f t="shared" si="7"/>
        <v>98.734625000000008</v>
      </c>
    </row>
    <row r="163" spans="1:8">
      <c r="A163" s="744"/>
      <c r="B163" s="744"/>
      <c r="C163" s="282" t="s">
        <v>42</v>
      </c>
      <c r="D163" s="250" t="s">
        <v>43</v>
      </c>
      <c r="E163" s="233">
        <v>800</v>
      </c>
      <c r="F163" s="233">
        <v>524.9</v>
      </c>
      <c r="G163" s="233">
        <v>0</v>
      </c>
      <c r="H163" s="138">
        <f t="shared" si="7"/>
        <v>65.612499999999997</v>
      </c>
    </row>
    <row r="164" spans="1:8">
      <c r="A164" s="161">
        <v>926</v>
      </c>
      <c r="B164" s="161"/>
      <c r="C164" s="161"/>
      <c r="D164" s="189" t="s">
        <v>145</v>
      </c>
      <c r="E164" s="313">
        <f>E165</f>
        <v>333000</v>
      </c>
      <c r="F164" s="313">
        <f>F165</f>
        <v>0</v>
      </c>
      <c r="G164" s="313">
        <f>G165</f>
        <v>333000</v>
      </c>
      <c r="H164" s="231">
        <f t="shared" si="7"/>
        <v>100</v>
      </c>
    </row>
    <row r="165" spans="1:8">
      <c r="A165" s="748"/>
      <c r="B165" s="282">
        <v>92601</v>
      </c>
      <c r="C165" s="282"/>
      <c r="D165" s="127" t="s">
        <v>341</v>
      </c>
      <c r="E165" s="233">
        <f>SUM(E166:E166)</f>
        <v>333000</v>
      </c>
      <c r="F165" s="233">
        <f>F166</f>
        <v>0</v>
      </c>
      <c r="G165" s="233">
        <f>G166</f>
        <v>333000</v>
      </c>
      <c r="H165" s="138">
        <f t="shared" si="7"/>
        <v>100</v>
      </c>
    </row>
    <row r="166" spans="1:8" ht="33.75">
      <c r="A166" s="749"/>
      <c r="B166" s="479"/>
      <c r="C166" s="314">
        <v>6430</v>
      </c>
      <c r="D166" s="250" t="s">
        <v>519</v>
      </c>
      <c r="E166" s="233">
        <v>333000</v>
      </c>
      <c r="F166" s="233">
        <v>0</v>
      </c>
      <c r="G166" s="233">
        <v>333000</v>
      </c>
      <c r="H166" s="138">
        <f t="shared" si="7"/>
        <v>100</v>
      </c>
    </row>
    <row r="167" spans="1:8">
      <c r="A167" s="751" t="s">
        <v>111</v>
      </c>
      <c r="B167" s="751"/>
      <c r="C167" s="751"/>
      <c r="D167" s="751"/>
      <c r="E167" s="341">
        <f>E164+E144+E131+E110+E106+E72+E61+E51+E39+E31+E20+E10+E48+E16</f>
        <v>40570896.480000004</v>
      </c>
      <c r="F167" s="341">
        <f>F164+F144+F131+F110+F106+F72+F61+F51+F39+F31+F20+F10+F48+F16</f>
        <v>37209366.639999993</v>
      </c>
      <c r="G167" s="341">
        <f>G164+G144+G131+G110+G106+G72+G61+G51+G39+G31+G20+G10+G48+G16</f>
        <v>2996232.66</v>
      </c>
      <c r="H167" s="135">
        <f t="shared" si="7"/>
        <v>99.099607818180488</v>
      </c>
    </row>
    <row r="169" spans="1:8">
      <c r="E169" s="99"/>
      <c r="F169" s="98"/>
      <c r="G169" s="98"/>
    </row>
    <row r="170" spans="1:8">
      <c r="E170" s="99"/>
    </row>
    <row r="171" spans="1:8">
      <c r="F171" s="98"/>
      <c r="G171" s="98"/>
    </row>
    <row r="172" spans="1:8">
      <c r="F172" s="98"/>
      <c r="G172" s="98"/>
    </row>
    <row r="173" spans="1:8">
      <c r="F173" s="98"/>
      <c r="G173" s="98"/>
    </row>
  </sheetData>
  <mergeCells count="49">
    <mergeCell ref="G1:H1"/>
    <mergeCell ref="B59:B60"/>
    <mergeCell ref="A2:H2"/>
    <mergeCell ref="A4:H4"/>
    <mergeCell ref="A6:A8"/>
    <mergeCell ref="B6:B8"/>
    <mergeCell ref="C6:C8"/>
    <mergeCell ref="D6:D8"/>
    <mergeCell ref="A3:H3"/>
    <mergeCell ref="H6:H8"/>
    <mergeCell ref="A40:A47"/>
    <mergeCell ref="A11:A15"/>
    <mergeCell ref="F6:G6"/>
    <mergeCell ref="G7:G8"/>
    <mergeCell ref="B18:B19"/>
    <mergeCell ref="B12:B13"/>
    <mergeCell ref="A167:D167"/>
    <mergeCell ref="B133:B137"/>
    <mergeCell ref="A145:A163"/>
    <mergeCell ref="B151:B154"/>
    <mergeCell ref="B162:B163"/>
    <mergeCell ref="B139:B143"/>
    <mergeCell ref="A165:A166"/>
    <mergeCell ref="B156:B158"/>
    <mergeCell ref="A132:A143"/>
    <mergeCell ref="A21:A30"/>
    <mergeCell ref="B22:B30"/>
    <mergeCell ref="B33:B38"/>
    <mergeCell ref="A73:A105"/>
    <mergeCell ref="B78:B87"/>
    <mergeCell ref="B89:B96"/>
    <mergeCell ref="A52:A60"/>
    <mergeCell ref="A62:A71"/>
    <mergeCell ref="A32:A38"/>
    <mergeCell ref="A49:A50"/>
    <mergeCell ref="F7:F8"/>
    <mergeCell ref="B108:B109"/>
    <mergeCell ref="B122:B124"/>
    <mergeCell ref="B146:B149"/>
    <mergeCell ref="E6:E8"/>
    <mergeCell ref="B53:B57"/>
    <mergeCell ref="B98:B101"/>
    <mergeCell ref="B112:B117"/>
    <mergeCell ref="B41:B45"/>
    <mergeCell ref="A111:A130"/>
    <mergeCell ref="A107:A109"/>
    <mergeCell ref="B119:B120"/>
    <mergeCell ref="B126:B130"/>
    <mergeCell ref="B74:B76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23" orientation="portrait" useFirstPageNumber="1" horizontalDpi="1200" verticalDpi="1200" r:id="rId1"/>
  <headerFooter alignWithMargins="0">
    <oddFooter>&amp;CZałącznik Nr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64"/>
  <sheetViews>
    <sheetView view="pageLayout" workbookViewId="0">
      <selection activeCell="D46" sqref="D46"/>
    </sheetView>
  </sheetViews>
  <sheetFormatPr defaultColWidth="9" defaultRowHeight="12.75"/>
  <cols>
    <col min="1" max="1" width="4.85546875" style="227" customWidth="1"/>
    <col min="2" max="2" width="6.42578125" style="227" customWidth="1"/>
    <col min="3" max="3" width="4.42578125" style="227" customWidth="1"/>
    <col min="4" max="4" width="34.42578125" style="227" customWidth="1"/>
    <col min="5" max="5" width="10.28515625" style="227" customWidth="1"/>
    <col min="6" max="6" width="10.5703125" style="227" customWidth="1"/>
    <col min="7" max="7" width="10.140625" style="227" customWidth="1"/>
    <col min="8" max="8" width="5.5703125" style="516" customWidth="1"/>
    <col min="9" max="16384" width="9" style="227"/>
  </cols>
  <sheetData>
    <row r="1" spans="1:8">
      <c r="G1" s="786" t="s">
        <v>113</v>
      </c>
      <c r="H1" s="786"/>
    </row>
    <row r="3" spans="1:8" ht="15.75">
      <c r="A3" s="787" t="s">
        <v>4</v>
      </c>
      <c r="B3" s="787"/>
      <c r="C3" s="787"/>
      <c r="D3" s="787"/>
      <c r="E3" s="787"/>
      <c r="F3" s="787"/>
      <c r="G3" s="787"/>
      <c r="H3" s="787"/>
    </row>
    <row r="4" spans="1:8" ht="33.75" customHeight="1">
      <c r="A4" s="788" t="s">
        <v>114</v>
      </c>
      <c r="B4" s="788"/>
      <c r="C4" s="788"/>
      <c r="D4" s="788"/>
      <c r="E4" s="788"/>
      <c r="F4" s="788"/>
      <c r="G4" s="788"/>
      <c r="H4" s="788"/>
    </row>
    <row r="5" spans="1:8" ht="15.75">
      <c r="A5" s="787" t="s">
        <v>518</v>
      </c>
      <c r="B5" s="787"/>
      <c r="C5" s="787"/>
      <c r="D5" s="787"/>
      <c r="E5" s="787"/>
      <c r="F5" s="787"/>
      <c r="G5" s="787"/>
      <c r="H5" s="787"/>
    </row>
    <row r="7" spans="1:8">
      <c r="G7" s="269" t="s">
        <v>6</v>
      </c>
    </row>
    <row r="8" spans="1:8" ht="15.75" customHeight="1">
      <c r="A8" s="777" t="s">
        <v>7</v>
      </c>
      <c r="B8" s="777" t="s">
        <v>8</v>
      </c>
      <c r="C8" s="777" t="s">
        <v>9</v>
      </c>
      <c r="D8" s="777" t="s">
        <v>10</v>
      </c>
      <c r="E8" s="777" t="s">
        <v>11</v>
      </c>
      <c r="F8" s="792" t="s">
        <v>12</v>
      </c>
      <c r="G8" s="792"/>
      <c r="H8" s="783" t="s">
        <v>9</v>
      </c>
    </row>
    <row r="9" spans="1:8">
      <c r="A9" s="778"/>
      <c r="B9" s="778"/>
      <c r="C9" s="778"/>
      <c r="D9" s="778"/>
      <c r="E9" s="778"/>
      <c r="F9" s="793" t="s">
        <v>489</v>
      </c>
      <c r="G9" s="795" t="s">
        <v>490</v>
      </c>
      <c r="H9" s="784"/>
    </row>
    <row r="10" spans="1:8" ht="10.5" customHeight="1">
      <c r="A10" s="779"/>
      <c r="B10" s="779"/>
      <c r="C10" s="779"/>
      <c r="D10" s="779"/>
      <c r="E10" s="779"/>
      <c r="F10" s="794"/>
      <c r="G10" s="795"/>
      <c r="H10" s="785"/>
    </row>
    <row r="11" spans="1:8" s="518" customFormat="1" ht="10.5">
      <c r="A11" s="271">
        <v>1</v>
      </c>
      <c r="B11" s="271">
        <v>2</v>
      </c>
      <c r="C11" s="271">
        <v>3</v>
      </c>
      <c r="D11" s="271">
        <v>4</v>
      </c>
      <c r="E11" s="271">
        <v>5</v>
      </c>
      <c r="F11" s="271">
        <v>6</v>
      </c>
      <c r="G11" s="271">
        <v>7</v>
      </c>
      <c r="H11" s="517">
        <v>8</v>
      </c>
    </row>
    <row r="12" spans="1:8" s="153" customFormat="1" ht="10.5">
      <c r="A12" s="519" t="s">
        <v>14</v>
      </c>
      <c r="B12" s="519"/>
      <c r="C12" s="519"/>
      <c r="D12" s="520" t="s">
        <v>15</v>
      </c>
      <c r="E12" s="521">
        <f>E14+E15</f>
        <v>84000</v>
      </c>
      <c r="F12" s="522">
        <f>F14+F15</f>
        <v>84215.4</v>
      </c>
      <c r="G12" s="522">
        <v>0</v>
      </c>
      <c r="H12" s="523">
        <f t="shared" ref="H12:H23" si="0">F12/E12*100</f>
        <v>100.25642857142856</v>
      </c>
    </row>
    <row r="13" spans="1:8" s="152" customFormat="1" ht="11.25">
      <c r="A13" s="782" t="s">
        <v>16</v>
      </c>
      <c r="B13" s="490" t="s">
        <v>17</v>
      </c>
      <c r="C13" s="490"/>
      <c r="D13" s="489" t="s">
        <v>18</v>
      </c>
      <c r="E13" s="524">
        <f>E14</f>
        <v>84000</v>
      </c>
      <c r="F13" s="525">
        <f>F14</f>
        <v>84000</v>
      </c>
      <c r="G13" s="525">
        <v>0</v>
      </c>
      <c r="H13" s="526">
        <f t="shared" si="0"/>
        <v>100</v>
      </c>
    </row>
    <row r="14" spans="1:8" ht="33.75">
      <c r="A14" s="780"/>
      <c r="B14" s="491"/>
      <c r="C14" s="491">
        <v>2110</v>
      </c>
      <c r="D14" s="338" t="s">
        <v>19</v>
      </c>
      <c r="E14" s="524">
        <v>84000</v>
      </c>
      <c r="F14" s="401">
        <v>84000</v>
      </c>
      <c r="G14" s="401">
        <v>0</v>
      </c>
      <c r="H14" s="526">
        <f t="shared" si="0"/>
        <v>100</v>
      </c>
    </row>
    <row r="15" spans="1:8">
      <c r="A15" s="780"/>
      <c r="B15" s="527" t="s">
        <v>20</v>
      </c>
      <c r="C15" s="491"/>
      <c r="D15" s="338" t="s">
        <v>21</v>
      </c>
      <c r="E15" s="524">
        <f>E16</f>
        <v>0</v>
      </c>
      <c r="F15" s="401">
        <f>F16</f>
        <v>215.4</v>
      </c>
      <c r="G15" s="401">
        <v>0</v>
      </c>
      <c r="H15" s="526"/>
    </row>
    <row r="16" spans="1:8" ht="36" customHeight="1">
      <c r="A16" s="781"/>
      <c r="B16" s="491"/>
      <c r="C16" s="491">
        <v>2360</v>
      </c>
      <c r="D16" s="338" t="s">
        <v>22</v>
      </c>
      <c r="E16" s="524">
        <v>0</v>
      </c>
      <c r="F16" s="401">
        <v>215.4</v>
      </c>
      <c r="G16" s="401">
        <v>0</v>
      </c>
      <c r="H16" s="526"/>
    </row>
    <row r="17" spans="1:8">
      <c r="A17" s="528">
        <v>600</v>
      </c>
      <c r="B17" s="529"/>
      <c r="C17" s="529"/>
      <c r="D17" s="530" t="s">
        <v>36</v>
      </c>
      <c r="E17" s="521">
        <f>E18</f>
        <v>0</v>
      </c>
      <c r="F17" s="531">
        <f>F18</f>
        <v>100</v>
      </c>
      <c r="G17" s="531">
        <v>0</v>
      </c>
      <c r="H17" s="523"/>
    </row>
    <row r="18" spans="1:8">
      <c r="A18" s="782"/>
      <c r="B18" s="491">
        <v>60095</v>
      </c>
      <c r="C18" s="491"/>
      <c r="D18" s="338" t="s">
        <v>88</v>
      </c>
      <c r="E18" s="524">
        <v>0</v>
      </c>
      <c r="F18" s="401">
        <f>F19</f>
        <v>100</v>
      </c>
      <c r="G18" s="401">
        <v>0</v>
      </c>
      <c r="H18" s="526"/>
    </row>
    <row r="19" spans="1:8" ht="36" customHeight="1">
      <c r="A19" s="781"/>
      <c r="B19" s="491"/>
      <c r="C19" s="491">
        <v>2360</v>
      </c>
      <c r="D19" s="338" t="s">
        <v>22</v>
      </c>
      <c r="E19" s="524">
        <v>0</v>
      </c>
      <c r="F19" s="401">
        <v>100</v>
      </c>
      <c r="G19" s="401">
        <v>0</v>
      </c>
      <c r="H19" s="526"/>
    </row>
    <row r="20" spans="1:8">
      <c r="A20" s="529">
        <v>700</v>
      </c>
      <c r="B20" s="529"/>
      <c r="C20" s="529"/>
      <c r="D20" s="532" t="s">
        <v>44</v>
      </c>
      <c r="E20" s="521">
        <f>E21</f>
        <v>96650</v>
      </c>
      <c r="F20" s="531">
        <f>F21</f>
        <v>91297.83</v>
      </c>
      <c r="G20" s="531">
        <v>0</v>
      </c>
      <c r="H20" s="523">
        <f t="shared" si="0"/>
        <v>94.462317640972586</v>
      </c>
    </row>
    <row r="21" spans="1:8" s="273" customFormat="1">
      <c r="A21" s="789" t="s">
        <v>16</v>
      </c>
      <c r="B21" s="491">
        <v>70005</v>
      </c>
      <c r="C21" s="491"/>
      <c r="D21" s="338" t="s">
        <v>45</v>
      </c>
      <c r="E21" s="524">
        <f>SUM(E22:E23)</f>
        <v>96650</v>
      </c>
      <c r="F21" s="401">
        <f>SUM(F22:F23)</f>
        <v>91297.83</v>
      </c>
      <c r="G21" s="401">
        <v>0</v>
      </c>
      <c r="H21" s="526">
        <f t="shared" si="0"/>
        <v>94.462317640972586</v>
      </c>
    </row>
    <row r="22" spans="1:8" ht="33.75">
      <c r="A22" s="789"/>
      <c r="B22" s="789"/>
      <c r="C22" s="491">
        <v>2110</v>
      </c>
      <c r="D22" s="338" t="s">
        <v>19</v>
      </c>
      <c r="E22" s="524">
        <v>16650</v>
      </c>
      <c r="F22" s="401">
        <v>16629.78</v>
      </c>
      <c r="G22" s="401">
        <v>0</v>
      </c>
      <c r="H22" s="526">
        <f t="shared" si="0"/>
        <v>99.878558558558552</v>
      </c>
    </row>
    <row r="23" spans="1:8" ht="33.75" customHeight="1">
      <c r="A23" s="789"/>
      <c r="B23" s="789"/>
      <c r="C23" s="533">
        <v>2360</v>
      </c>
      <c r="D23" s="338" t="s">
        <v>22</v>
      </c>
      <c r="E23" s="524">
        <v>80000</v>
      </c>
      <c r="F23" s="401">
        <v>74668.05</v>
      </c>
      <c r="G23" s="401">
        <v>0</v>
      </c>
      <c r="H23" s="526">
        <f t="shared" si="0"/>
        <v>93.335062499999992</v>
      </c>
    </row>
    <row r="24" spans="1:8">
      <c r="A24" s="519">
        <v>710</v>
      </c>
      <c r="B24" s="519"/>
      <c r="C24" s="519"/>
      <c r="D24" s="532" t="s">
        <v>50</v>
      </c>
      <c r="E24" s="521">
        <f>E25+E27+E29</f>
        <v>347167</v>
      </c>
      <c r="F24" s="531">
        <f>F25+F27+F29</f>
        <v>347351.16000000003</v>
      </c>
      <c r="G24" s="531">
        <v>0</v>
      </c>
      <c r="H24" s="523">
        <f t="shared" ref="H24:H29" si="1">F24/E24*100</f>
        <v>100.05304651651801</v>
      </c>
    </row>
    <row r="25" spans="1:8" ht="12.75" customHeight="1">
      <c r="A25" s="790" t="s">
        <v>16</v>
      </c>
      <c r="B25" s="490">
        <v>71013</v>
      </c>
      <c r="C25" s="490"/>
      <c r="D25" s="338" t="s">
        <v>335</v>
      </c>
      <c r="E25" s="524">
        <f>E26</f>
        <v>58000</v>
      </c>
      <c r="F25" s="401">
        <f>F26</f>
        <v>58000</v>
      </c>
      <c r="G25" s="401">
        <v>0</v>
      </c>
      <c r="H25" s="526">
        <f t="shared" si="1"/>
        <v>100</v>
      </c>
    </row>
    <row r="26" spans="1:8" s="273" customFormat="1" ht="33.75">
      <c r="A26" s="791"/>
      <c r="B26" s="490"/>
      <c r="C26" s="491">
        <v>2110</v>
      </c>
      <c r="D26" s="338" t="s">
        <v>19</v>
      </c>
      <c r="E26" s="524">
        <v>58000</v>
      </c>
      <c r="F26" s="401">
        <v>58000</v>
      </c>
      <c r="G26" s="401">
        <v>0</v>
      </c>
      <c r="H26" s="526">
        <f t="shared" si="1"/>
        <v>100</v>
      </c>
    </row>
    <row r="27" spans="1:8">
      <c r="A27" s="791"/>
      <c r="B27" s="490">
        <v>71014</v>
      </c>
      <c r="C27" s="491"/>
      <c r="D27" s="338" t="s">
        <v>51</v>
      </c>
      <c r="E27" s="524">
        <f>E28</f>
        <v>17000</v>
      </c>
      <c r="F27" s="401">
        <f>F28</f>
        <v>17000</v>
      </c>
      <c r="G27" s="401">
        <v>0</v>
      </c>
      <c r="H27" s="526">
        <f t="shared" si="1"/>
        <v>100</v>
      </c>
    </row>
    <row r="28" spans="1:8" ht="37.5" customHeight="1">
      <c r="A28" s="791"/>
      <c r="B28" s="490"/>
      <c r="C28" s="491">
        <v>2110</v>
      </c>
      <c r="D28" s="338" t="s">
        <v>19</v>
      </c>
      <c r="E28" s="524">
        <v>17000</v>
      </c>
      <c r="F28" s="401">
        <v>17000</v>
      </c>
      <c r="G28" s="401">
        <v>0</v>
      </c>
      <c r="H28" s="526">
        <f t="shared" si="1"/>
        <v>100</v>
      </c>
    </row>
    <row r="29" spans="1:8" s="273" customFormat="1">
      <c r="A29" s="791"/>
      <c r="B29" s="490">
        <v>71015</v>
      </c>
      <c r="C29" s="491"/>
      <c r="D29" s="338" t="s">
        <v>52</v>
      </c>
      <c r="E29" s="524">
        <f>SUM(E30:E33)</f>
        <v>272167</v>
      </c>
      <c r="F29" s="401">
        <f>SUM(F30:F33)</f>
        <v>272351.16000000003</v>
      </c>
      <c r="G29" s="401">
        <v>0</v>
      </c>
      <c r="H29" s="526">
        <f t="shared" si="1"/>
        <v>100.06766433843927</v>
      </c>
    </row>
    <row r="30" spans="1:8" s="273" customFormat="1">
      <c r="A30" s="791"/>
      <c r="B30" s="790"/>
      <c r="C30" s="533" t="s">
        <v>38</v>
      </c>
      <c r="D30" s="534" t="s">
        <v>39</v>
      </c>
      <c r="E30" s="524">
        <v>0</v>
      </c>
      <c r="F30" s="401">
        <v>52.8</v>
      </c>
      <c r="G30" s="401">
        <v>0</v>
      </c>
      <c r="H30" s="526"/>
    </row>
    <row r="31" spans="1:8" s="273" customFormat="1">
      <c r="A31" s="791"/>
      <c r="B31" s="791"/>
      <c r="C31" s="533" t="s">
        <v>42</v>
      </c>
      <c r="D31" s="339" t="s">
        <v>43</v>
      </c>
      <c r="E31" s="524">
        <v>0</v>
      </c>
      <c r="F31" s="401">
        <v>338.28</v>
      </c>
      <c r="G31" s="401">
        <v>0</v>
      </c>
      <c r="H31" s="526"/>
    </row>
    <row r="32" spans="1:8" ht="36.75" customHeight="1">
      <c r="A32" s="791"/>
      <c r="B32" s="791"/>
      <c r="C32" s="491">
        <v>2110</v>
      </c>
      <c r="D32" s="338" t="s">
        <v>19</v>
      </c>
      <c r="E32" s="524">
        <v>272167</v>
      </c>
      <c r="F32" s="401">
        <v>271955.08</v>
      </c>
      <c r="G32" s="401">
        <v>0</v>
      </c>
      <c r="H32" s="526">
        <f>F32/E32*100</f>
        <v>99.922136041474545</v>
      </c>
    </row>
    <row r="33" spans="1:8" ht="36.75" customHeight="1">
      <c r="A33" s="791"/>
      <c r="B33" s="791"/>
      <c r="C33" s="533">
        <v>2360</v>
      </c>
      <c r="D33" s="338" t="s">
        <v>22</v>
      </c>
      <c r="E33" s="524">
        <v>0</v>
      </c>
      <c r="F33" s="401">
        <v>5</v>
      </c>
      <c r="G33" s="401">
        <v>0</v>
      </c>
      <c r="H33" s="526"/>
    </row>
    <row r="34" spans="1:8" s="273" customFormat="1">
      <c r="A34" s="519">
        <v>750</v>
      </c>
      <c r="B34" s="519"/>
      <c r="C34" s="519"/>
      <c r="D34" s="532" t="s">
        <v>53</v>
      </c>
      <c r="E34" s="521">
        <f>E35+E37</f>
        <v>120578</v>
      </c>
      <c r="F34" s="531">
        <f>F35+F37</f>
        <v>120576.19</v>
      </c>
      <c r="G34" s="531">
        <v>0</v>
      </c>
      <c r="H34" s="523">
        <f t="shared" ref="H34:H38" si="2">F34/E34*100</f>
        <v>99.998498896979555</v>
      </c>
    </row>
    <row r="35" spans="1:8" ht="13.5" customHeight="1">
      <c r="A35" s="775" t="s">
        <v>16</v>
      </c>
      <c r="B35" s="490">
        <v>75011</v>
      </c>
      <c r="C35" s="490"/>
      <c r="D35" s="338" t="s">
        <v>54</v>
      </c>
      <c r="E35" s="524">
        <f>E36</f>
        <v>104200</v>
      </c>
      <c r="F35" s="401">
        <f>F36</f>
        <v>104200</v>
      </c>
      <c r="G35" s="401">
        <v>0</v>
      </c>
      <c r="H35" s="526">
        <f t="shared" si="2"/>
        <v>100</v>
      </c>
    </row>
    <row r="36" spans="1:8" ht="33.75">
      <c r="A36" s="775"/>
      <c r="B36" s="490"/>
      <c r="C36" s="491">
        <v>2110</v>
      </c>
      <c r="D36" s="338" t="s">
        <v>19</v>
      </c>
      <c r="E36" s="524">
        <v>104200</v>
      </c>
      <c r="F36" s="401">
        <v>104200</v>
      </c>
      <c r="G36" s="401">
        <v>0</v>
      </c>
      <c r="H36" s="526">
        <f t="shared" si="2"/>
        <v>100</v>
      </c>
    </row>
    <row r="37" spans="1:8" s="535" customFormat="1">
      <c r="A37" s="775"/>
      <c r="B37" s="490">
        <v>75045</v>
      </c>
      <c r="C37" s="490"/>
      <c r="D37" s="338" t="s">
        <v>607</v>
      </c>
      <c r="E37" s="524">
        <f>E38</f>
        <v>16378</v>
      </c>
      <c r="F37" s="401">
        <f>F38</f>
        <v>16376.19</v>
      </c>
      <c r="G37" s="401">
        <v>0</v>
      </c>
      <c r="H37" s="526">
        <f t="shared" si="2"/>
        <v>99.988948589571379</v>
      </c>
    </row>
    <row r="38" spans="1:8" s="535" customFormat="1" ht="33.75">
      <c r="A38" s="775"/>
      <c r="B38" s="491"/>
      <c r="C38" s="491">
        <v>2110</v>
      </c>
      <c r="D38" s="338" t="s">
        <v>19</v>
      </c>
      <c r="E38" s="524">
        <v>16378</v>
      </c>
      <c r="F38" s="401">
        <v>16376.19</v>
      </c>
      <c r="G38" s="401">
        <v>0</v>
      </c>
      <c r="H38" s="526">
        <f t="shared" si="2"/>
        <v>99.988948589571379</v>
      </c>
    </row>
    <row r="39" spans="1:8" ht="12" customHeight="1">
      <c r="A39" s="529">
        <v>754</v>
      </c>
      <c r="B39" s="529"/>
      <c r="C39" s="529"/>
      <c r="D39" s="532" t="s">
        <v>63</v>
      </c>
      <c r="E39" s="521">
        <f>E40</f>
        <v>2968231</v>
      </c>
      <c r="F39" s="531">
        <f>F40</f>
        <v>2931738.26</v>
      </c>
      <c r="G39" s="531">
        <f>G40</f>
        <v>41195.199999999997</v>
      </c>
      <c r="H39" s="523">
        <f>(F39+G39)/E39*100</f>
        <v>100.15842634889265</v>
      </c>
    </row>
    <row r="40" spans="1:8" ht="12.75" customHeight="1">
      <c r="A40" s="782" t="s">
        <v>16</v>
      </c>
      <c r="B40" s="491">
        <v>75411</v>
      </c>
      <c r="C40" s="491"/>
      <c r="D40" s="338" t="s">
        <v>64</v>
      </c>
      <c r="E40" s="524">
        <f>SUM(E41:E46)</f>
        <v>2968231</v>
      </c>
      <c r="F40" s="401">
        <f>SUM(F41:F46)</f>
        <v>2931738.26</v>
      </c>
      <c r="G40" s="401">
        <f>SUM(G41:G46)</f>
        <v>41195.199999999997</v>
      </c>
      <c r="H40" s="526">
        <f>(F40+G40)/E40*100</f>
        <v>100.15842634889265</v>
      </c>
    </row>
    <row r="41" spans="1:8" ht="13.5" customHeight="1">
      <c r="A41" s="780"/>
      <c r="B41" s="782"/>
      <c r="C41" s="491" t="s">
        <v>42</v>
      </c>
      <c r="D41" s="338" t="s">
        <v>43</v>
      </c>
      <c r="E41" s="524">
        <v>0</v>
      </c>
      <c r="F41" s="401">
        <v>3992.23</v>
      </c>
      <c r="G41" s="401">
        <v>0</v>
      </c>
      <c r="H41" s="526"/>
    </row>
    <row r="42" spans="1:8" ht="13.5" customHeight="1">
      <c r="A42" s="780"/>
      <c r="B42" s="780"/>
      <c r="C42" s="527" t="s">
        <v>27</v>
      </c>
      <c r="D42" s="250" t="s">
        <v>28</v>
      </c>
      <c r="E42" s="524">
        <v>0</v>
      </c>
      <c r="F42" s="401">
        <v>756</v>
      </c>
      <c r="G42" s="401">
        <v>0</v>
      </c>
      <c r="H42" s="526"/>
    </row>
    <row r="43" spans="1:8" ht="33.75">
      <c r="A43" s="780"/>
      <c r="B43" s="780"/>
      <c r="C43" s="491">
        <v>2110</v>
      </c>
      <c r="D43" s="338" t="s">
        <v>19</v>
      </c>
      <c r="E43" s="524">
        <v>2920531</v>
      </c>
      <c r="F43" s="401">
        <v>2920521.86</v>
      </c>
      <c r="G43" s="401">
        <v>0</v>
      </c>
      <c r="H43" s="526">
        <f>F43/E43*100</f>
        <v>99.999687043212333</v>
      </c>
    </row>
    <row r="44" spans="1:8" ht="35.25" customHeight="1">
      <c r="A44" s="780"/>
      <c r="B44" s="780"/>
      <c r="C44" s="491">
        <v>2360</v>
      </c>
      <c r="D44" s="338" t="s">
        <v>22</v>
      </c>
      <c r="E44" s="524">
        <v>0</v>
      </c>
      <c r="F44" s="401">
        <v>4.76</v>
      </c>
      <c r="G44" s="401">
        <v>0</v>
      </c>
      <c r="H44" s="526"/>
    </row>
    <row r="45" spans="1:8" ht="35.25" customHeight="1">
      <c r="A45" s="780"/>
      <c r="B45" s="780"/>
      <c r="C45" s="491">
        <v>2710</v>
      </c>
      <c r="D45" s="338" t="s">
        <v>407</v>
      </c>
      <c r="E45" s="524">
        <v>6500</v>
      </c>
      <c r="F45" s="401">
        <v>6463.41</v>
      </c>
      <c r="G45" s="401">
        <v>0</v>
      </c>
      <c r="H45" s="526">
        <f>F45/E45*100</f>
        <v>99.437076923076916</v>
      </c>
    </row>
    <row r="46" spans="1:8" ht="44.25" customHeight="1">
      <c r="A46" s="781"/>
      <c r="B46" s="781"/>
      <c r="C46" s="491">
        <v>6410</v>
      </c>
      <c r="D46" s="338" t="s">
        <v>344</v>
      </c>
      <c r="E46" s="524">
        <v>41200</v>
      </c>
      <c r="F46" s="401">
        <v>0</v>
      </c>
      <c r="G46" s="401">
        <v>41195.199999999997</v>
      </c>
      <c r="H46" s="526">
        <f>(F46+G46)/E46*100</f>
        <v>99.988349514563097</v>
      </c>
    </row>
    <row r="47" spans="1:8">
      <c r="A47" s="529">
        <v>851</v>
      </c>
      <c r="B47" s="529"/>
      <c r="C47" s="529"/>
      <c r="D47" s="536" t="s">
        <v>91</v>
      </c>
      <c r="E47" s="521">
        <f>E48</f>
        <v>2362000</v>
      </c>
      <c r="F47" s="531">
        <f>F48</f>
        <v>2358263</v>
      </c>
      <c r="G47" s="531">
        <v>0</v>
      </c>
      <c r="H47" s="523">
        <f t="shared" ref="H47:H56" si="3">F47/E47*100</f>
        <v>99.841786621507197</v>
      </c>
    </row>
    <row r="48" spans="1:8" ht="33.75">
      <c r="A48" s="775" t="s">
        <v>16</v>
      </c>
      <c r="B48" s="491">
        <v>85156</v>
      </c>
      <c r="C48" s="491"/>
      <c r="D48" s="537" t="s">
        <v>93</v>
      </c>
      <c r="E48" s="524">
        <f>E49</f>
        <v>2362000</v>
      </c>
      <c r="F48" s="401">
        <f>F49</f>
        <v>2358263</v>
      </c>
      <c r="G48" s="401">
        <v>0</v>
      </c>
      <c r="H48" s="526">
        <f t="shared" si="3"/>
        <v>99.841786621507197</v>
      </c>
    </row>
    <row r="49" spans="1:8" ht="33.75">
      <c r="A49" s="775"/>
      <c r="B49" s="491"/>
      <c r="C49" s="491">
        <v>2110</v>
      </c>
      <c r="D49" s="338" t="s">
        <v>19</v>
      </c>
      <c r="E49" s="524">
        <v>2362000</v>
      </c>
      <c r="F49" s="401">
        <v>2358263</v>
      </c>
      <c r="G49" s="401">
        <v>0</v>
      </c>
      <c r="H49" s="526">
        <f t="shared" si="3"/>
        <v>99.841786621507197</v>
      </c>
    </row>
    <row r="50" spans="1:8">
      <c r="A50" s="529">
        <v>852</v>
      </c>
      <c r="B50" s="529"/>
      <c r="C50" s="529"/>
      <c r="D50" s="532" t="s">
        <v>94</v>
      </c>
      <c r="E50" s="521">
        <f>E51</f>
        <v>713526</v>
      </c>
      <c r="F50" s="531">
        <f>F51</f>
        <v>721552</v>
      </c>
      <c r="G50" s="531">
        <f>G51</f>
        <v>18</v>
      </c>
      <c r="H50" s="523">
        <f t="shared" si="3"/>
        <v>101.12483637596948</v>
      </c>
    </row>
    <row r="51" spans="1:8">
      <c r="A51" s="775"/>
      <c r="B51" s="491">
        <v>85203</v>
      </c>
      <c r="C51" s="491"/>
      <c r="D51" s="338" t="s">
        <v>98</v>
      </c>
      <c r="E51" s="524">
        <f>SUM(E52:E57)</f>
        <v>713526</v>
      </c>
      <c r="F51" s="401">
        <f>SUM(F52:F57)</f>
        <v>721552</v>
      </c>
      <c r="G51" s="401">
        <f>SUM(G52:G57)</f>
        <v>18</v>
      </c>
      <c r="H51" s="526">
        <f t="shared" si="3"/>
        <v>101.12483637596948</v>
      </c>
    </row>
    <row r="52" spans="1:8" ht="45.75" customHeight="1">
      <c r="A52" s="775"/>
      <c r="B52" s="780"/>
      <c r="C52" s="491" t="s">
        <v>31</v>
      </c>
      <c r="D52" s="338" t="s">
        <v>32</v>
      </c>
      <c r="E52" s="524">
        <v>11092</v>
      </c>
      <c r="F52" s="401">
        <v>18142</v>
      </c>
      <c r="G52" s="401">
        <v>0</v>
      </c>
      <c r="H52" s="526">
        <f t="shared" si="3"/>
        <v>163.55932203389833</v>
      </c>
    </row>
    <row r="53" spans="1:8">
      <c r="A53" s="775"/>
      <c r="B53" s="780"/>
      <c r="C53" s="491" t="s">
        <v>87</v>
      </c>
      <c r="D53" s="402" t="s">
        <v>99</v>
      </c>
      <c r="E53" s="524">
        <v>0</v>
      </c>
      <c r="F53" s="401">
        <v>300</v>
      </c>
      <c r="G53" s="401">
        <v>0</v>
      </c>
      <c r="H53" s="526"/>
    </row>
    <row r="54" spans="1:8">
      <c r="A54" s="775"/>
      <c r="B54" s="780"/>
      <c r="C54" s="527" t="s">
        <v>59</v>
      </c>
      <c r="D54" s="250" t="s">
        <v>348</v>
      </c>
      <c r="E54" s="524">
        <v>0</v>
      </c>
      <c r="F54" s="401">
        <v>0</v>
      </c>
      <c r="G54" s="401">
        <v>18</v>
      </c>
      <c r="H54" s="526"/>
    </row>
    <row r="55" spans="1:8">
      <c r="A55" s="775"/>
      <c r="B55" s="780"/>
      <c r="C55" s="491" t="s">
        <v>42</v>
      </c>
      <c r="D55" s="338" t="s">
        <v>43</v>
      </c>
      <c r="E55" s="524">
        <v>0</v>
      </c>
      <c r="F55" s="401">
        <v>379.65</v>
      </c>
      <c r="G55" s="401">
        <v>0</v>
      </c>
      <c r="H55" s="526"/>
    </row>
    <row r="56" spans="1:8" ht="33.75">
      <c r="A56" s="775"/>
      <c r="B56" s="780"/>
      <c r="C56" s="491">
        <v>2110</v>
      </c>
      <c r="D56" s="338" t="s">
        <v>19</v>
      </c>
      <c r="E56" s="524">
        <v>702434</v>
      </c>
      <c r="F56" s="401">
        <v>702343.19</v>
      </c>
      <c r="G56" s="401">
        <v>0</v>
      </c>
      <c r="H56" s="526">
        <f t="shared" si="3"/>
        <v>99.987072095029561</v>
      </c>
    </row>
    <row r="57" spans="1:8" ht="33.75" customHeight="1">
      <c r="A57" s="775"/>
      <c r="B57" s="781"/>
      <c r="C57" s="491">
        <v>2360</v>
      </c>
      <c r="D57" s="338" t="s">
        <v>22</v>
      </c>
      <c r="E57" s="524">
        <v>0</v>
      </c>
      <c r="F57" s="401">
        <v>387.16</v>
      </c>
      <c r="G57" s="401">
        <v>0</v>
      </c>
      <c r="H57" s="526"/>
    </row>
    <row r="58" spans="1:8" ht="14.25" customHeight="1">
      <c r="A58" s="529">
        <v>853</v>
      </c>
      <c r="B58" s="529"/>
      <c r="C58" s="529"/>
      <c r="D58" s="538" t="s">
        <v>102</v>
      </c>
      <c r="E58" s="521">
        <f>E59+E61</f>
        <v>122663</v>
      </c>
      <c r="F58" s="531">
        <f>F59+F61</f>
        <v>122609.63</v>
      </c>
      <c r="G58" s="531">
        <v>0</v>
      </c>
      <c r="H58" s="523">
        <f t="shared" ref="H58:H62" si="4">F58/E58*100</f>
        <v>99.956490547271798</v>
      </c>
    </row>
    <row r="59" spans="1:8" ht="14.25" customHeight="1">
      <c r="A59" s="775" t="s">
        <v>16</v>
      </c>
      <c r="B59" s="491">
        <v>85321</v>
      </c>
      <c r="C59" s="491"/>
      <c r="D59" s="338" t="s">
        <v>115</v>
      </c>
      <c r="E59" s="524">
        <f>E60</f>
        <v>81000</v>
      </c>
      <c r="F59" s="401">
        <f>F60</f>
        <v>80947.03</v>
      </c>
      <c r="G59" s="401">
        <v>0</v>
      </c>
      <c r="H59" s="526">
        <f t="shared" si="4"/>
        <v>99.934604938271605</v>
      </c>
    </row>
    <row r="60" spans="1:8" ht="33.75">
      <c r="A60" s="775"/>
      <c r="B60" s="491"/>
      <c r="C60" s="491">
        <v>2110</v>
      </c>
      <c r="D60" s="338" t="s">
        <v>19</v>
      </c>
      <c r="E60" s="524">
        <v>81000</v>
      </c>
      <c r="F60" s="401">
        <v>80947.03</v>
      </c>
      <c r="G60" s="401">
        <v>0</v>
      </c>
      <c r="H60" s="526">
        <f t="shared" si="4"/>
        <v>99.934604938271605</v>
      </c>
    </row>
    <row r="61" spans="1:8">
      <c r="A61" s="775"/>
      <c r="B61" s="491">
        <v>85334</v>
      </c>
      <c r="C61" s="491"/>
      <c r="D61" s="338" t="s">
        <v>104</v>
      </c>
      <c r="E61" s="524">
        <f>E62</f>
        <v>41663</v>
      </c>
      <c r="F61" s="401">
        <f>F62</f>
        <v>41662.6</v>
      </c>
      <c r="G61" s="401">
        <v>0</v>
      </c>
      <c r="H61" s="526">
        <f t="shared" si="4"/>
        <v>99.999039915512569</v>
      </c>
    </row>
    <row r="62" spans="1:8" ht="33.75">
      <c r="A62" s="775"/>
      <c r="B62" s="491"/>
      <c r="C62" s="491">
        <v>2110</v>
      </c>
      <c r="D62" s="338" t="s">
        <v>19</v>
      </c>
      <c r="E62" s="524">
        <v>41663</v>
      </c>
      <c r="F62" s="401">
        <v>41662.6</v>
      </c>
      <c r="G62" s="401">
        <v>0</v>
      </c>
      <c r="H62" s="526">
        <f t="shared" si="4"/>
        <v>99.999039915512569</v>
      </c>
    </row>
    <row r="63" spans="1:8">
      <c r="A63" s="776" t="s">
        <v>111</v>
      </c>
      <c r="B63" s="776"/>
      <c r="C63" s="776"/>
      <c r="D63" s="776"/>
      <c r="E63" s="272">
        <f>E12+E20+E24+E34+E39+E47+E50+E58+E17</f>
        <v>6814815</v>
      </c>
      <c r="F63" s="272">
        <f>F12+F20+F24+F34+F39+F47+F50+F58+F17</f>
        <v>6777703.4699999997</v>
      </c>
      <c r="G63" s="515">
        <f>G12+G20+G24+G34+G39+G47+G50+G58</f>
        <v>41213.199999999997</v>
      </c>
      <c r="H63" s="539">
        <f>(F63+G63)/E63*100</f>
        <v>100.06018754727751</v>
      </c>
    </row>
    <row r="64" spans="1:8">
      <c r="F64" s="274"/>
      <c r="G64" s="274"/>
    </row>
  </sheetData>
  <mergeCells count="27">
    <mergeCell ref="H8:H10"/>
    <mergeCell ref="G1:H1"/>
    <mergeCell ref="A35:A38"/>
    <mergeCell ref="A13:A16"/>
    <mergeCell ref="A3:H3"/>
    <mergeCell ref="A4:H4"/>
    <mergeCell ref="A5:H5"/>
    <mergeCell ref="A21:A23"/>
    <mergeCell ref="B22:B23"/>
    <mergeCell ref="A25:A33"/>
    <mergeCell ref="B30:B33"/>
    <mergeCell ref="F8:G8"/>
    <mergeCell ref="F9:F10"/>
    <mergeCell ref="G9:G10"/>
    <mergeCell ref="E8:E10"/>
    <mergeCell ref="A59:A62"/>
    <mergeCell ref="A63:D63"/>
    <mergeCell ref="D8:D10"/>
    <mergeCell ref="C8:C10"/>
    <mergeCell ref="B8:B10"/>
    <mergeCell ref="B52:B57"/>
    <mergeCell ref="A40:A46"/>
    <mergeCell ref="B41:B46"/>
    <mergeCell ref="A48:A49"/>
    <mergeCell ref="A51:A57"/>
    <mergeCell ref="A8:A10"/>
    <mergeCell ref="A18:A19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29" orientation="portrait" useFirstPageNumber="1" horizontalDpi="1200" verticalDpi="1200" r:id="rId1"/>
  <headerFooter alignWithMargins="0">
    <oddFooter>&amp;CZałącznik Nr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1"/>
  <sheetViews>
    <sheetView view="pageLayout" topLeftCell="A19" workbookViewId="0">
      <selection activeCell="D43" sqref="D43"/>
    </sheetView>
  </sheetViews>
  <sheetFormatPr defaultRowHeight="12.75"/>
  <cols>
    <col min="1" max="1" width="5.140625" customWidth="1"/>
    <col min="2" max="2" width="6" customWidth="1"/>
    <col min="3" max="3" width="5.85546875" customWidth="1"/>
    <col min="4" max="4" width="37.28515625" customWidth="1"/>
    <col min="5" max="5" width="13.140625" customWidth="1"/>
    <col min="6" max="6" width="11.5703125" customWidth="1"/>
    <col min="7" max="7" width="6" customWidth="1"/>
  </cols>
  <sheetData>
    <row r="1" spans="1:7">
      <c r="A1" s="2"/>
      <c r="B1" s="2"/>
      <c r="C1" s="2"/>
      <c r="D1" s="2"/>
      <c r="E1" s="275"/>
      <c r="F1" s="755" t="s">
        <v>119</v>
      </c>
      <c r="G1" s="755"/>
    </row>
    <row r="2" spans="1:7">
      <c r="A2" s="2"/>
      <c r="B2" s="2"/>
      <c r="C2" s="2"/>
      <c r="D2" s="2"/>
      <c r="E2" s="275"/>
      <c r="F2" s="2"/>
      <c r="G2" s="2"/>
    </row>
    <row r="3" spans="1:7" ht="15.75">
      <c r="A3" s="756" t="s">
        <v>4</v>
      </c>
      <c r="B3" s="756"/>
      <c r="C3" s="756"/>
      <c r="D3" s="756"/>
      <c r="E3" s="756"/>
      <c r="F3" s="756"/>
      <c r="G3" s="756"/>
    </row>
    <row r="4" spans="1:7" ht="33" customHeight="1">
      <c r="A4" s="799" t="s">
        <v>526</v>
      </c>
      <c r="B4" s="799"/>
      <c r="C4" s="799"/>
      <c r="D4" s="799"/>
      <c r="E4" s="799"/>
      <c r="F4" s="799"/>
      <c r="G4" s="799"/>
    </row>
    <row r="5" spans="1:7" ht="15.75">
      <c r="A5" s="756" t="s">
        <v>525</v>
      </c>
      <c r="B5" s="756"/>
      <c r="C5" s="756"/>
      <c r="D5" s="756"/>
      <c r="E5" s="756"/>
      <c r="F5" s="756"/>
      <c r="G5" s="756"/>
    </row>
    <row r="6" spans="1:7">
      <c r="A6" s="2"/>
      <c r="B6" s="2"/>
      <c r="C6" s="2"/>
      <c r="D6" s="2"/>
      <c r="E6" s="275"/>
      <c r="F6" s="2"/>
      <c r="G6" s="2"/>
    </row>
    <row r="7" spans="1:7">
      <c r="A7" s="2"/>
      <c r="B7" s="2"/>
      <c r="C7" s="2"/>
      <c r="D7" s="2"/>
      <c r="E7" s="275"/>
      <c r="F7" s="5" t="s">
        <v>6</v>
      </c>
      <c r="G7" s="2"/>
    </row>
    <row r="8" spans="1:7">
      <c r="A8" s="558"/>
      <c r="B8" s="559"/>
      <c r="C8" s="560"/>
      <c r="D8" s="559"/>
      <c r="E8" s="561"/>
      <c r="F8" s="486" t="s">
        <v>12</v>
      </c>
      <c r="G8" s="562"/>
    </row>
    <row r="9" spans="1:7">
      <c r="A9" s="563" t="s">
        <v>7</v>
      </c>
      <c r="B9" s="487" t="s">
        <v>7</v>
      </c>
      <c r="C9" s="564" t="s">
        <v>9</v>
      </c>
      <c r="D9" s="565" t="s">
        <v>10</v>
      </c>
      <c r="E9" s="566" t="s">
        <v>11</v>
      </c>
      <c r="F9" s="567" t="s">
        <v>492</v>
      </c>
      <c r="G9" s="568" t="s">
        <v>13</v>
      </c>
    </row>
    <row r="10" spans="1:7">
      <c r="A10" s="569"/>
      <c r="B10" s="488"/>
      <c r="C10" s="570"/>
      <c r="D10" s="571"/>
      <c r="E10" s="572"/>
      <c r="F10" s="488" t="s">
        <v>491</v>
      </c>
      <c r="G10" s="573"/>
    </row>
    <row r="11" spans="1:7">
      <c r="A11" s="481">
        <v>1</v>
      </c>
      <c r="B11" s="481">
        <v>2</v>
      </c>
      <c r="C11" s="481">
        <v>3</v>
      </c>
      <c r="D11" s="481">
        <v>4</v>
      </c>
      <c r="E11" s="557">
        <v>5</v>
      </c>
      <c r="F11" s="481">
        <v>6</v>
      </c>
      <c r="G11" s="481">
        <v>7</v>
      </c>
    </row>
    <row r="12" spans="1:7">
      <c r="A12" s="545">
        <v>750</v>
      </c>
      <c r="B12" s="545"/>
      <c r="C12" s="546"/>
      <c r="D12" s="552" t="s">
        <v>53</v>
      </c>
      <c r="E12" s="574">
        <f>E13</f>
        <v>382</v>
      </c>
      <c r="F12" s="548">
        <f>F13</f>
        <v>382</v>
      </c>
      <c r="G12" s="549">
        <f t="shared" ref="G12:G17" si="0">F12/E12*100</f>
        <v>100</v>
      </c>
    </row>
    <row r="13" spans="1:7">
      <c r="A13" s="797"/>
      <c r="B13" s="483">
        <v>75045</v>
      </c>
      <c r="C13" s="484"/>
      <c r="D13" s="72" t="s">
        <v>607</v>
      </c>
      <c r="E13" s="496">
        <f>E14</f>
        <v>382</v>
      </c>
      <c r="F13" s="70">
        <f>F14</f>
        <v>382</v>
      </c>
      <c r="G13" s="71">
        <f t="shared" si="0"/>
        <v>100</v>
      </c>
    </row>
    <row r="14" spans="1:7" ht="48.75" customHeight="1">
      <c r="A14" s="798"/>
      <c r="B14" s="483"/>
      <c r="C14" s="484">
        <v>2120</v>
      </c>
      <c r="D14" s="72" t="s">
        <v>521</v>
      </c>
      <c r="E14" s="496">
        <v>382</v>
      </c>
      <c r="F14" s="70">
        <v>382</v>
      </c>
      <c r="G14" s="71">
        <f t="shared" si="0"/>
        <v>100</v>
      </c>
    </row>
    <row r="15" spans="1:7">
      <c r="A15" s="544">
        <v>852</v>
      </c>
      <c r="B15" s="544"/>
      <c r="C15" s="544"/>
      <c r="D15" s="547" t="s">
        <v>94</v>
      </c>
      <c r="E15" s="575">
        <f>E16</f>
        <v>56529</v>
      </c>
      <c r="F15" s="550">
        <f>F16</f>
        <v>56528.63</v>
      </c>
      <c r="G15" s="551">
        <f t="shared" si="0"/>
        <v>99.99934546869747</v>
      </c>
    </row>
    <row r="16" spans="1:7">
      <c r="A16" s="797" t="s">
        <v>16</v>
      </c>
      <c r="B16" s="483">
        <v>85295</v>
      </c>
      <c r="C16" s="483"/>
      <c r="D16" s="72" t="s">
        <v>88</v>
      </c>
      <c r="E16" s="496">
        <f>E17+E18</f>
        <v>56529</v>
      </c>
      <c r="F16" s="496">
        <f>F17+F18</f>
        <v>56528.63</v>
      </c>
      <c r="G16" s="71">
        <f t="shared" si="0"/>
        <v>99.99934546869747</v>
      </c>
    </row>
    <row r="17" spans="1:7">
      <c r="A17" s="800"/>
      <c r="B17" s="797"/>
      <c r="C17" s="73" t="s">
        <v>42</v>
      </c>
      <c r="D17" s="72" t="s">
        <v>43</v>
      </c>
      <c r="E17" s="496">
        <v>329</v>
      </c>
      <c r="F17" s="70">
        <v>328.63</v>
      </c>
      <c r="G17" s="71">
        <f t="shared" si="0"/>
        <v>99.887537993920972</v>
      </c>
    </row>
    <row r="18" spans="1:7" ht="46.5" customHeight="1">
      <c r="A18" s="800"/>
      <c r="B18" s="798"/>
      <c r="C18" s="483">
        <v>2120</v>
      </c>
      <c r="D18" s="72" t="s">
        <v>521</v>
      </c>
      <c r="E18" s="496">
        <v>56200</v>
      </c>
      <c r="F18" s="70">
        <v>56200</v>
      </c>
      <c r="G18" s="71">
        <f>F18/E18*100</f>
        <v>100</v>
      </c>
    </row>
    <row r="19" spans="1:7">
      <c r="A19" s="796" t="s">
        <v>111</v>
      </c>
      <c r="B19" s="796"/>
      <c r="C19" s="796"/>
      <c r="D19" s="796"/>
      <c r="E19" s="278">
        <f>E12+E15</f>
        <v>56911</v>
      </c>
      <c r="F19" s="278">
        <f>F12+F15</f>
        <v>56910.63</v>
      </c>
      <c r="G19" s="81">
        <f>F19*100/E19</f>
        <v>99.99934986206533</v>
      </c>
    </row>
    <row r="20" spans="1:7">
      <c r="A20" s="16"/>
      <c r="B20" s="16"/>
      <c r="C20" s="16"/>
      <c r="D20" s="16"/>
      <c r="E20" s="16"/>
      <c r="F20" s="16"/>
      <c r="G20" s="16"/>
    </row>
    <row r="21" spans="1:7">
      <c r="A21" s="16"/>
      <c r="B21" s="16"/>
      <c r="C21" s="16"/>
      <c r="D21" s="16"/>
      <c r="E21" s="16"/>
      <c r="F21" s="16"/>
      <c r="G21" s="16"/>
    </row>
  </sheetData>
  <mergeCells count="8">
    <mergeCell ref="A19:D19"/>
    <mergeCell ref="B17:B18"/>
    <mergeCell ref="F1:G1"/>
    <mergeCell ref="A3:G3"/>
    <mergeCell ref="A4:G4"/>
    <mergeCell ref="A5:G5"/>
    <mergeCell ref="A13:A14"/>
    <mergeCell ref="A16:A18"/>
  </mergeCells>
  <pageMargins left="0.7" right="0.7" top="0.75" bottom="0.75" header="0.3" footer="0.3"/>
  <pageSetup paperSize="9" orientation="portrait" r:id="rId1"/>
  <headerFooter>
    <oddFooter>&amp;CZałącznik Nr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view="pageLayout" workbookViewId="0">
      <selection activeCell="D43" sqref="D43"/>
    </sheetView>
  </sheetViews>
  <sheetFormatPr defaultRowHeight="12.75"/>
  <cols>
    <col min="1" max="1" width="5" customWidth="1"/>
    <col min="2" max="2" width="6.5703125" customWidth="1"/>
    <col min="3" max="3" width="5.85546875" customWidth="1"/>
    <col min="4" max="4" width="36.85546875" customWidth="1"/>
    <col min="5" max="5" width="12.5703125" style="275" customWidth="1"/>
    <col min="6" max="6" width="12.28515625" customWidth="1"/>
    <col min="7" max="7" width="6.85546875" customWidth="1"/>
  </cols>
  <sheetData>
    <row r="1" spans="1:7">
      <c r="A1" s="2"/>
      <c r="B1" s="2"/>
      <c r="C1" s="2"/>
      <c r="D1" s="2"/>
      <c r="F1" s="755" t="s">
        <v>125</v>
      </c>
      <c r="G1" s="755"/>
    </row>
    <row r="2" spans="1:7">
      <c r="A2" s="2"/>
      <c r="B2" s="2"/>
      <c r="C2" s="2"/>
      <c r="D2" s="2"/>
      <c r="F2" s="2"/>
      <c r="G2" s="2"/>
    </row>
    <row r="3" spans="1:7" ht="15.75">
      <c r="A3" s="756" t="s">
        <v>4</v>
      </c>
      <c r="B3" s="756"/>
      <c r="C3" s="756"/>
      <c r="D3" s="756"/>
      <c r="E3" s="756"/>
      <c r="F3" s="756"/>
      <c r="G3" s="756"/>
    </row>
    <row r="4" spans="1:7" ht="33" customHeight="1">
      <c r="A4" s="801" t="s">
        <v>326</v>
      </c>
      <c r="B4" s="801"/>
      <c r="C4" s="801"/>
      <c r="D4" s="801"/>
      <c r="E4" s="801"/>
      <c r="F4" s="801"/>
      <c r="G4" s="801"/>
    </row>
    <row r="5" spans="1:7" ht="15.75">
      <c r="A5" s="756" t="s">
        <v>525</v>
      </c>
      <c r="B5" s="756"/>
      <c r="C5" s="756"/>
      <c r="D5" s="756"/>
      <c r="E5" s="756"/>
      <c r="F5" s="756"/>
      <c r="G5" s="756"/>
    </row>
    <row r="6" spans="1:7">
      <c r="A6" s="2"/>
      <c r="B6" s="2"/>
      <c r="C6" s="2"/>
      <c r="D6" s="2"/>
      <c r="F6" s="2"/>
      <c r="G6" s="2"/>
    </row>
    <row r="7" spans="1:7">
      <c r="A7" s="2"/>
      <c r="B7" s="2"/>
      <c r="C7" s="2"/>
      <c r="D7" s="2"/>
      <c r="F7" s="5" t="s">
        <v>6</v>
      </c>
      <c r="G7" s="2"/>
    </row>
    <row r="8" spans="1:7">
      <c r="A8" s="82"/>
      <c r="B8" s="87"/>
      <c r="C8" s="83"/>
      <c r="D8" s="87"/>
      <c r="E8" s="540"/>
      <c r="F8" s="348" t="s">
        <v>12</v>
      </c>
      <c r="G8" s="95"/>
    </row>
    <row r="9" spans="1:7">
      <c r="A9" s="84" t="s">
        <v>7</v>
      </c>
      <c r="B9" s="88" t="s">
        <v>7</v>
      </c>
      <c r="C9" s="15" t="s">
        <v>9</v>
      </c>
      <c r="D9" s="90" t="s">
        <v>10</v>
      </c>
      <c r="E9" s="541" t="s">
        <v>11</v>
      </c>
      <c r="F9" s="349" t="s">
        <v>492</v>
      </c>
      <c r="G9" s="96" t="s">
        <v>13</v>
      </c>
    </row>
    <row r="10" spans="1:7">
      <c r="A10" s="85"/>
      <c r="B10" s="89"/>
      <c r="C10" s="86"/>
      <c r="D10" s="91"/>
      <c r="E10" s="542"/>
      <c r="F10" s="89" t="s">
        <v>491</v>
      </c>
      <c r="G10" s="97"/>
    </row>
    <row r="11" spans="1:7">
      <c r="A11" s="66">
        <v>1</v>
      </c>
      <c r="B11" s="66">
        <v>2</v>
      </c>
      <c r="C11" s="66">
        <v>3</v>
      </c>
      <c r="D11" s="66">
        <v>4</v>
      </c>
      <c r="E11" s="543">
        <v>5</v>
      </c>
      <c r="F11" s="66">
        <v>6</v>
      </c>
      <c r="G11" s="66">
        <v>7</v>
      </c>
    </row>
    <row r="12" spans="1:7" ht="24">
      <c r="A12" s="545">
        <v>754</v>
      </c>
      <c r="B12" s="545"/>
      <c r="C12" s="546"/>
      <c r="D12" s="547" t="s">
        <v>63</v>
      </c>
      <c r="E12" s="553">
        <f>E13</f>
        <v>5903</v>
      </c>
      <c r="F12" s="548">
        <f>F13</f>
        <v>5902.72</v>
      </c>
      <c r="G12" s="549">
        <f t="shared" ref="G12:G14" si="0">F12/E12*100</f>
        <v>99.995256649161448</v>
      </c>
    </row>
    <row r="13" spans="1:7">
      <c r="A13" s="797"/>
      <c r="B13" s="483">
        <v>75421</v>
      </c>
      <c r="C13" s="484"/>
      <c r="D13" s="72" t="s">
        <v>403</v>
      </c>
      <c r="E13" s="554">
        <f>E14</f>
        <v>5903</v>
      </c>
      <c r="F13" s="70">
        <f>F14</f>
        <v>5902.72</v>
      </c>
      <c r="G13" s="71">
        <f t="shared" si="0"/>
        <v>99.995256649161448</v>
      </c>
    </row>
    <row r="14" spans="1:7" ht="24.75" customHeight="1">
      <c r="A14" s="798"/>
      <c r="B14" s="483"/>
      <c r="C14" s="484">
        <v>2310</v>
      </c>
      <c r="D14" s="76" t="s">
        <v>346</v>
      </c>
      <c r="E14" s="554">
        <v>5903</v>
      </c>
      <c r="F14" s="70">
        <v>5902.72</v>
      </c>
      <c r="G14" s="71">
        <f t="shared" si="0"/>
        <v>99.995256649161448</v>
      </c>
    </row>
    <row r="15" spans="1:7">
      <c r="A15" s="544">
        <v>852</v>
      </c>
      <c r="B15" s="544"/>
      <c r="C15" s="544"/>
      <c r="D15" s="547" t="s">
        <v>94</v>
      </c>
      <c r="E15" s="555">
        <f>E16+E18+E20</f>
        <v>1686331</v>
      </c>
      <c r="F15" s="550">
        <f>F16+F18+F20</f>
        <v>1684581.8</v>
      </c>
      <c r="G15" s="551">
        <f t="shared" ref="G15:G17" si="1">F15/E15*100</f>
        <v>99.896271846986153</v>
      </c>
    </row>
    <row r="16" spans="1:7">
      <c r="A16" s="797" t="s">
        <v>16</v>
      </c>
      <c r="B16" s="483">
        <v>85201</v>
      </c>
      <c r="C16" s="483"/>
      <c r="D16" s="72" t="s">
        <v>95</v>
      </c>
      <c r="E16" s="554">
        <f>SUM(E17:E17)</f>
        <v>1599537</v>
      </c>
      <c r="F16" s="70">
        <f>SUM(F17:F17)</f>
        <v>1597787.82</v>
      </c>
      <c r="G16" s="71">
        <f t="shared" si="1"/>
        <v>99.89064460528266</v>
      </c>
    </row>
    <row r="17" spans="1:7" ht="38.25" customHeight="1">
      <c r="A17" s="800"/>
      <c r="B17" s="483"/>
      <c r="C17" s="483">
        <v>2320</v>
      </c>
      <c r="D17" s="72" t="s">
        <v>90</v>
      </c>
      <c r="E17" s="554">
        <v>1599537</v>
      </c>
      <c r="F17" s="70">
        <v>1597787.82</v>
      </c>
      <c r="G17" s="71">
        <f t="shared" si="1"/>
        <v>99.89064460528266</v>
      </c>
    </row>
    <row r="18" spans="1:7">
      <c r="A18" s="800"/>
      <c r="B18" s="483">
        <v>85204</v>
      </c>
      <c r="C18" s="483"/>
      <c r="D18" s="485" t="s">
        <v>100</v>
      </c>
      <c r="E18" s="554">
        <f>SUM(E19:E19)</f>
        <v>82703</v>
      </c>
      <c r="F18" s="70">
        <f>SUM(F19:F19)</f>
        <v>82703.16</v>
      </c>
      <c r="G18" s="71">
        <f>F18/E18*100</f>
        <v>100.00019346335685</v>
      </c>
    </row>
    <row r="19" spans="1:7" ht="37.5" customHeight="1">
      <c r="A19" s="800"/>
      <c r="B19" s="483"/>
      <c r="C19" s="483">
        <v>2320</v>
      </c>
      <c r="D19" s="72" t="s">
        <v>90</v>
      </c>
      <c r="E19" s="554">
        <v>82703</v>
      </c>
      <c r="F19" s="70">
        <v>82703.16</v>
      </c>
      <c r="G19" s="71">
        <f>F19/E19*100</f>
        <v>100.00019346335685</v>
      </c>
    </row>
    <row r="20" spans="1:7">
      <c r="A20" s="800"/>
      <c r="B20" s="483">
        <v>85226</v>
      </c>
      <c r="C20" s="483"/>
      <c r="D20" s="72" t="s">
        <v>522</v>
      </c>
      <c r="E20" s="554">
        <f>E21</f>
        <v>4091</v>
      </c>
      <c r="F20" s="70">
        <f>F21</f>
        <v>4090.82</v>
      </c>
      <c r="G20" s="71">
        <f t="shared" ref="G20:G21" si="2">F20/E20*100</f>
        <v>99.995600097775608</v>
      </c>
    </row>
    <row r="21" spans="1:7" ht="37.5" customHeight="1">
      <c r="A21" s="798"/>
      <c r="B21" s="483"/>
      <c r="C21" s="483">
        <v>2320</v>
      </c>
      <c r="D21" s="72" t="s">
        <v>90</v>
      </c>
      <c r="E21" s="554">
        <v>4091</v>
      </c>
      <c r="F21" s="70">
        <v>4090.82</v>
      </c>
      <c r="G21" s="71">
        <f t="shared" si="2"/>
        <v>99.995600097775608</v>
      </c>
    </row>
    <row r="22" spans="1:7" s="14" customFormat="1">
      <c r="A22" s="544">
        <v>854</v>
      </c>
      <c r="B22" s="544"/>
      <c r="C22" s="544"/>
      <c r="D22" s="552" t="s">
        <v>105</v>
      </c>
      <c r="E22" s="555">
        <f>E23</f>
        <v>310000</v>
      </c>
      <c r="F22" s="550">
        <f>F23</f>
        <v>308000</v>
      </c>
      <c r="G22" s="551">
        <f>F22/E22*100</f>
        <v>99.354838709677423</v>
      </c>
    </row>
    <row r="23" spans="1:7">
      <c r="A23" s="802"/>
      <c r="B23" s="78">
        <v>85415</v>
      </c>
      <c r="C23" s="78"/>
      <c r="D23" s="250" t="s">
        <v>109</v>
      </c>
      <c r="E23" s="554">
        <f>E25+E24</f>
        <v>310000</v>
      </c>
      <c r="F23" s="70">
        <f>F25+F24</f>
        <v>308000</v>
      </c>
      <c r="G23" s="79">
        <f>F23/E23*100</f>
        <v>99.354838709677423</v>
      </c>
    </row>
    <row r="24" spans="1:7" ht="25.5" customHeight="1">
      <c r="A24" s="802"/>
      <c r="B24" s="803"/>
      <c r="C24" s="78">
        <v>2888</v>
      </c>
      <c r="D24" s="752" t="s">
        <v>520</v>
      </c>
      <c r="E24" s="554">
        <v>210955</v>
      </c>
      <c r="F24" s="70">
        <v>209594</v>
      </c>
      <c r="G24" s="71">
        <f>F24/E24*100</f>
        <v>99.354838709677423</v>
      </c>
    </row>
    <row r="25" spans="1:7" ht="27.75" customHeight="1">
      <c r="A25" s="802"/>
      <c r="B25" s="804"/>
      <c r="C25" s="78">
        <v>2889</v>
      </c>
      <c r="D25" s="753"/>
      <c r="E25" s="554">
        <v>99045</v>
      </c>
      <c r="F25" s="70">
        <v>98406</v>
      </c>
      <c r="G25" s="79">
        <f>F25/E25*100</f>
        <v>99.354838709677423</v>
      </c>
    </row>
    <row r="26" spans="1:7">
      <c r="A26" s="796" t="s">
        <v>111</v>
      </c>
      <c r="B26" s="796"/>
      <c r="C26" s="796"/>
      <c r="D26" s="796"/>
      <c r="E26" s="556">
        <f>E12+E15+E22</f>
        <v>2002234</v>
      </c>
      <c r="F26" s="556">
        <f>F12+F15+F22</f>
        <v>1998484.52</v>
      </c>
      <c r="G26" s="81">
        <f>F26*100/E26</f>
        <v>99.812735174809731</v>
      </c>
    </row>
    <row r="27" spans="1:7">
      <c r="A27" s="16"/>
      <c r="B27" s="16"/>
      <c r="C27" s="16"/>
      <c r="D27" s="16"/>
      <c r="F27" s="16"/>
      <c r="G27" s="16"/>
    </row>
  </sheetData>
  <mergeCells count="10">
    <mergeCell ref="F1:G1"/>
    <mergeCell ref="A3:G3"/>
    <mergeCell ref="A4:G4"/>
    <mergeCell ref="A5:G5"/>
    <mergeCell ref="A26:D26"/>
    <mergeCell ref="A23:A25"/>
    <mergeCell ref="A13:A14"/>
    <mergeCell ref="A16:A21"/>
    <mergeCell ref="B24:B25"/>
    <mergeCell ref="D24:D25"/>
  </mergeCells>
  <pageMargins left="0.7" right="0.7" top="0.75" bottom="0.75" header="0.3" footer="0.3"/>
  <pageSetup paperSize="9" orientation="portrait" r:id="rId1"/>
  <headerFooter>
    <oddFooter>&amp;CZałącznik Nr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42"/>
  <sheetViews>
    <sheetView showWhiteSpace="0" view="pageLayout" workbookViewId="0">
      <selection activeCell="K42" sqref="K42"/>
    </sheetView>
  </sheetViews>
  <sheetFormatPr defaultColWidth="9" defaultRowHeight="12.75"/>
  <cols>
    <col min="1" max="1" width="23.5703125" customWidth="1"/>
    <col min="2" max="2" width="15.140625" customWidth="1"/>
  </cols>
  <sheetData>
    <row r="1" spans="1:3">
      <c r="A1" s="218" t="s">
        <v>120</v>
      </c>
      <c r="B1" s="108">
        <v>44815236.799999997</v>
      </c>
      <c r="C1" s="107"/>
    </row>
    <row r="2" spans="1:3">
      <c r="A2" s="218" t="s">
        <v>121</v>
      </c>
      <c r="B2" s="108">
        <v>7190978.9199999999</v>
      </c>
      <c r="C2" s="107"/>
    </row>
    <row r="3" spans="1:3">
      <c r="A3" s="218"/>
      <c r="B3" s="108">
        <f>SUM(B1:B2)</f>
        <v>52006215.719999999</v>
      </c>
      <c r="C3" s="107"/>
    </row>
    <row r="4" spans="1:3">
      <c r="A4" s="218"/>
      <c r="B4" s="218"/>
      <c r="C4" s="107"/>
    </row>
    <row r="5" spans="1:3">
      <c r="A5" s="107"/>
      <c r="B5" s="107"/>
      <c r="C5" s="107"/>
    </row>
    <row r="6" spans="1:3">
      <c r="A6" s="107"/>
      <c r="B6" s="107"/>
      <c r="C6" s="107"/>
    </row>
    <row r="7" spans="1:3">
      <c r="A7" s="107"/>
      <c r="B7" s="107"/>
      <c r="C7" s="107"/>
    </row>
    <row r="8" spans="1:3">
      <c r="A8" s="218"/>
      <c r="B8" s="218"/>
      <c r="C8" s="8"/>
    </row>
    <row r="9" spans="1:3">
      <c r="A9" s="218"/>
      <c r="B9" s="218"/>
      <c r="C9" s="8"/>
    </row>
    <row r="10" spans="1:3">
      <c r="A10" s="218"/>
      <c r="B10" s="218"/>
    </row>
    <row r="11" spans="1:3">
      <c r="A11" s="218"/>
      <c r="B11" s="218"/>
    </row>
    <row r="12" spans="1:3">
      <c r="A12" s="218"/>
      <c r="B12" s="218"/>
    </row>
    <row r="13" spans="1:3">
      <c r="A13" s="218"/>
      <c r="B13" s="218"/>
    </row>
    <row r="14" spans="1:3">
      <c r="A14" s="218"/>
      <c r="B14" s="218"/>
    </row>
    <row r="15" spans="1:3">
      <c r="A15" s="218"/>
      <c r="B15" s="218"/>
    </row>
    <row r="16" spans="1:3">
      <c r="A16" s="218"/>
      <c r="B16" s="218"/>
    </row>
    <row r="17" spans="1:5">
      <c r="A17" s="218"/>
      <c r="B17" s="218"/>
    </row>
    <row r="18" spans="1:5">
      <c r="A18" s="218"/>
      <c r="B18" s="218"/>
    </row>
    <row r="19" spans="1:5">
      <c r="A19" s="218"/>
      <c r="B19" s="218"/>
    </row>
    <row r="20" spans="1:5">
      <c r="A20" s="218"/>
      <c r="B20" s="218"/>
    </row>
    <row r="21" spans="1:5">
      <c r="A21" s="218"/>
      <c r="B21" s="218"/>
    </row>
    <row r="22" spans="1:5">
      <c r="A22" s="218"/>
      <c r="B22" s="218"/>
    </row>
    <row r="23" spans="1:5">
      <c r="A23" s="218"/>
      <c r="B23" s="218"/>
    </row>
    <row r="24" spans="1:5">
      <c r="A24" s="218"/>
      <c r="B24" s="218"/>
    </row>
    <row r="25" spans="1:5">
      <c r="A25" s="218"/>
      <c r="B25" s="218"/>
    </row>
    <row r="26" spans="1:5">
      <c r="A26" s="218"/>
      <c r="B26" s="218"/>
    </row>
    <row r="27" spans="1:5">
      <c r="A27" s="4"/>
      <c r="B27" s="4"/>
      <c r="C27" s="4"/>
      <c r="D27" s="4"/>
    </row>
    <row r="28" spans="1:5">
      <c r="A28" s="4"/>
      <c r="B28" s="4"/>
      <c r="C28" s="4"/>
      <c r="D28" s="4"/>
      <c r="E28" s="8"/>
    </row>
    <row r="29" spans="1:5">
      <c r="A29" s="4"/>
      <c r="B29" s="4"/>
      <c r="C29" s="4"/>
      <c r="D29" s="4"/>
      <c r="E29" s="8"/>
    </row>
    <row r="30" spans="1:5">
      <c r="A30" t="s">
        <v>415</v>
      </c>
      <c r="B30" s="1">
        <v>19049405.510000002</v>
      </c>
      <c r="C30" s="4"/>
      <c r="D30" s="4"/>
      <c r="E30" s="8"/>
    </row>
    <row r="31" spans="1:5">
      <c r="A31" t="s">
        <v>414</v>
      </c>
      <c r="B31" s="1">
        <f>'zał 6'!H92</f>
        <v>2807535.3200000003</v>
      </c>
      <c r="C31" s="4"/>
      <c r="D31" s="4"/>
      <c r="E31" s="8"/>
    </row>
    <row r="32" spans="1:5">
      <c r="A32" s="4" t="s">
        <v>122</v>
      </c>
      <c r="B32" s="1">
        <f>'zał 6'!I92</f>
        <v>7341189.1499999994</v>
      </c>
      <c r="C32" s="4"/>
      <c r="D32" s="4"/>
      <c r="E32" s="8"/>
    </row>
    <row r="33" spans="1:5">
      <c r="A33" s="4" t="s">
        <v>123</v>
      </c>
      <c r="B33" s="1">
        <f>'zał 6'!J92</f>
        <v>371604.72</v>
      </c>
      <c r="C33" s="4"/>
      <c r="D33" s="4"/>
      <c r="E33" s="8"/>
    </row>
    <row r="34" spans="1:5">
      <c r="A34" s="4" t="s">
        <v>124</v>
      </c>
      <c r="B34" s="241">
        <f>'zał 6'!F92-'wyk3'!B30-'wyk3'!B31-'wyk3'!B32-'wyk3'!B33</f>
        <v>15245502.099999996</v>
      </c>
      <c r="C34" s="4"/>
      <c r="D34" s="4"/>
      <c r="E34" s="8"/>
    </row>
    <row r="35" spans="1:5">
      <c r="A35" s="4"/>
      <c r="B35" s="1">
        <f>'zał 6'!F92</f>
        <v>44815236.799999997</v>
      </c>
      <c r="C35" s="4"/>
      <c r="D35" s="4"/>
      <c r="E35" s="8"/>
    </row>
    <row r="36" spans="1:5">
      <c r="A36" s="4"/>
      <c r="B36" s="4"/>
      <c r="C36" s="4"/>
      <c r="D36" s="4"/>
      <c r="E36" s="8"/>
    </row>
    <row r="37" spans="1:5">
      <c r="A37" s="4"/>
      <c r="B37" s="4"/>
      <c r="C37" s="4"/>
      <c r="D37" s="4"/>
      <c r="E37" s="8"/>
    </row>
    <row r="38" spans="1:5">
      <c r="A38" s="4"/>
      <c r="B38" s="4"/>
      <c r="C38" s="4"/>
      <c r="D38" s="4"/>
      <c r="E38" s="8"/>
    </row>
    <row r="39" spans="1:5">
      <c r="A39" s="4"/>
      <c r="B39" s="4"/>
      <c r="C39" s="4"/>
      <c r="D39" s="4"/>
      <c r="E39" s="8"/>
    </row>
    <row r="40" spans="1:5">
      <c r="A40" s="4"/>
      <c r="B40" s="4"/>
      <c r="C40" s="4"/>
      <c r="D40" s="4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firstPageNumber="33" orientation="portrait" useFirstPageNumber="1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4"/>
  <sheetViews>
    <sheetView view="pageLayout" topLeftCell="A46" workbookViewId="0">
      <selection activeCell="C73" sqref="C73"/>
    </sheetView>
  </sheetViews>
  <sheetFormatPr defaultColWidth="9" defaultRowHeight="12.75"/>
  <cols>
    <col min="1" max="1" width="4" customWidth="1"/>
    <col min="2" max="2" width="5.7109375" customWidth="1"/>
    <col min="3" max="3" width="29.28515625" customWidth="1"/>
    <col min="4" max="4" width="11.140625" style="499" customWidth="1"/>
    <col min="5" max="5" width="12" style="103" customWidth="1"/>
    <col min="6" max="6" width="11.28515625" style="106" customWidth="1"/>
    <col min="7" max="7" width="11.42578125" style="10" customWidth="1"/>
    <col min="8" max="9" width="10.5703125" style="10" customWidth="1"/>
    <col min="10" max="10" width="9" style="10" customWidth="1"/>
    <col min="11" max="11" width="11" style="10" customWidth="1"/>
    <col min="12" max="12" width="6.28515625" style="4" customWidth="1"/>
    <col min="13" max="13" width="12.28515625" customWidth="1"/>
  </cols>
  <sheetData>
    <row r="1" spans="1:13">
      <c r="A1" s="2"/>
      <c r="B1" s="2"/>
      <c r="C1" s="2"/>
      <c r="D1" s="494"/>
      <c r="E1" s="501"/>
      <c r="F1" s="11"/>
      <c r="G1" s="11"/>
      <c r="H1" s="11"/>
      <c r="I1" s="11"/>
      <c r="J1" s="810" t="s">
        <v>147</v>
      </c>
      <c r="K1" s="810"/>
      <c r="L1" s="810"/>
    </row>
    <row r="2" spans="1:13" ht="15.75">
      <c r="A2" s="756" t="s">
        <v>126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</row>
    <row r="3" spans="1:13" ht="15.75" customHeight="1">
      <c r="A3" s="801" t="s">
        <v>5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</row>
    <row r="4" spans="1:13" ht="15.75">
      <c r="A4" s="756" t="s">
        <v>518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</row>
    <row r="5" spans="1:13">
      <c r="A5" s="2"/>
      <c r="B5" s="2"/>
      <c r="C5" s="2"/>
      <c r="D5" s="494"/>
      <c r="E5" s="501"/>
      <c r="F5" s="11"/>
      <c r="G5" s="11"/>
      <c r="H5" s="11"/>
      <c r="I5" s="11"/>
      <c r="J5" s="11"/>
      <c r="K5" s="17" t="s">
        <v>6</v>
      </c>
      <c r="L5" s="2"/>
    </row>
    <row r="6" spans="1:13" s="7" customFormat="1" ht="12.75" customHeight="1">
      <c r="A6" s="758" t="s">
        <v>7</v>
      </c>
      <c r="B6" s="758" t="s">
        <v>127</v>
      </c>
      <c r="C6" s="758" t="s">
        <v>10</v>
      </c>
      <c r="D6" s="811" t="s">
        <v>128</v>
      </c>
      <c r="E6" s="805" t="s">
        <v>12</v>
      </c>
      <c r="F6" s="812" t="s">
        <v>327</v>
      </c>
      <c r="G6" s="812"/>
      <c r="H6" s="812"/>
      <c r="I6" s="812"/>
      <c r="J6" s="812"/>
      <c r="K6" s="812"/>
      <c r="L6" s="758" t="s">
        <v>129</v>
      </c>
    </row>
    <row r="7" spans="1:13" s="7" customFormat="1" ht="12.75" customHeight="1">
      <c r="A7" s="758"/>
      <c r="B7" s="758"/>
      <c r="C7" s="758"/>
      <c r="D7" s="811"/>
      <c r="E7" s="805"/>
      <c r="F7" s="813" t="s">
        <v>130</v>
      </c>
      <c r="G7" s="813"/>
      <c r="H7" s="813"/>
      <c r="I7" s="813"/>
      <c r="J7" s="813"/>
      <c r="K7" s="814" t="s">
        <v>131</v>
      </c>
      <c r="L7" s="758"/>
    </row>
    <row r="8" spans="1:13" s="7" customFormat="1" ht="12.75" customHeight="1">
      <c r="A8" s="758"/>
      <c r="B8" s="758"/>
      <c r="C8" s="758"/>
      <c r="D8" s="811"/>
      <c r="E8" s="805"/>
      <c r="F8" s="815" t="s">
        <v>132</v>
      </c>
      <c r="G8" s="155" t="s">
        <v>133</v>
      </c>
      <c r="H8" s="155"/>
      <c r="I8" s="155"/>
      <c r="J8" s="155"/>
      <c r="K8" s="814"/>
      <c r="L8" s="758"/>
    </row>
    <row r="9" spans="1:13" s="7" customFormat="1" ht="36" customHeight="1">
      <c r="A9" s="758"/>
      <c r="B9" s="758"/>
      <c r="C9" s="758"/>
      <c r="D9" s="811"/>
      <c r="E9" s="805"/>
      <c r="F9" s="815"/>
      <c r="G9" s="156" t="s">
        <v>409</v>
      </c>
      <c r="H9" s="156" t="s">
        <v>410</v>
      </c>
      <c r="I9" s="156" t="s">
        <v>134</v>
      </c>
      <c r="J9" s="156" t="s">
        <v>135</v>
      </c>
      <c r="K9" s="814"/>
      <c r="L9" s="758"/>
    </row>
    <row r="10" spans="1:13" s="18" customFormat="1" ht="10.5">
      <c r="A10" s="66">
        <v>1</v>
      </c>
      <c r="B10" s="66">
        <v>2</v>
      </c>
      <c r="C10" s="66">
        <v>3</v>
      </c>
      <c r="D10" s="737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6">
        <v>10</v>
      </c>
      <c r="K10" s="66">
        <v>11</v>
      </c>
      <c r="L10" s="66">
        <v>12</v>
      </c>
    </row>
    <row r="11" spans="1:13" s="19" customFormat="1">
      <c r="A11" s="236" t="s">
        <v>14</v>
      </c>
      <c r="B11" s="236"/>
      <c r="C11" s="469" t="s">
        <v>15</v>
      </c>
      <c r="D11" s="495">
        <f>D12+D13+D14</f>
        <v>92555</v>
      </c>
      <c r="E11" s="237">
        <f>E12+E13+E14</f>
        <v>92455</v>
      </c>
      <c r="F11" s="237">
        <f>F12+F13+F14</f>
        <v>92455</v>
      </c>
      <c r="G11" s="157"/>
      <c r="H11" s="157"/>
      <c r="I11" s="157"/>
      <c r="J11" s="157"/>
      <c r="K11" s="157"/>
      <c r="L11" s="234">
        <f>E11/D11*100</f>
        <v>99.89195613419048</v>
      </c>
      <c r="M11" s="104"/>
    </row>
    <row r="12" spans="1:13" ht="24.75" customHeight="1">
      <c r="A12" s="797" t="s">
        <v>16</v>
      </c>
      <c r="B12" s="470" t="s">
        <v>17</v>
      </c>
      <c r="C12" s="158" t="s">
        <v>18</v>
      </c>
      <c r="D12" s="496">
        <v>84000</v>
      </c>
      <c r="E12" s="70">
        <v>84000</v>
      </c>
      <c r="F12" s="70">
        <v>84000</v>
      </c>
      <c r="G12" s="159"/>
      <c r="H12" s="159"/>
      <c r="I12" s="159"/>
      <c r="J12" s="159"/>
      <c r="K12" s="159"/>
      <c r="L12" s="235">
        <f t="shared" ref="L12:L79" si="0">E12/D12*100</f>
        <v>100</v>
      </c>
      <c r="M12" s="104"/>
    </row>
    <row r="13" spans="1:13">
      <c r="A13" s="800"/>
      <c r="B13" s="470" t="s">
        <v>20</v>
      </c>
      <c r="C13" s="72" t="s">
        <v>21</v>
      </c>
      <c r="D13" s="496">
        <v>100</v>
      </c>
      <c r="E13" s="70">
        <v>0</v>
      </c>
      <c r="F13" s="70"/>
      <c r="G13" s="70"/>
      <c r="H13" s="70"/>
      <c r="I13" s="70"/>
      <c r="J13" s="70"/>
      <c r="K13" s="70"/>
      <c r="L13" s="235">
        <f t="shared" si="0"/>
        <v>0</v>
      </c>
      <c r="M13" s="104"/>
    </row>
    <row r="14" spans="1:13">
      <c r="A14" s="798"/>
      <c r="B14" s="73" t="s">
        <v>324</v>
      </c>
      <c r="C14" s="72" t="s">
        <v>88</v>
      </c>
      <c r="D14" s="496">
        <v>8455</v>
      </c>
      <c r="E14" s="70">
        <v>8455</v>
      </c>
      <c r="F14" s="70">
        <v>8455</v>
      </c>
      <c r="G14" s="70"/>
      <c r="H14" s="70"/>
      <c r="I14" s="70"/>
      <c r="J14" s="70"/>
      <c r="K14" s="70"/>
      <c r="L14" s="235">
        <f t="shared" si="0"/>
        <v>100</v>
      </c>
      <c r="M14" s="104"/>
    </row>
    <row r="15" spans="1:13" s="3" customFormat="1">
      <c r="A15" s="236" t="s">
        <v>23</v>
      </c>
      <c r="B15" s="236"/>
      <c r="C15" s="112" t="s">
        <v>24</v>
      </c>
      <c r="D15" s="278">
        <f>D16+D17+D18</f>
        <v>301983</v>
      </c>
      <c r="E15" s="80">
        <f>E16+E17+E18</f>
        <v>270994.79000000004</v>
      </c>
      <c r="F15" s="80">
        <f>F16+F17+F18</f>
        <v>270994.79000000004</v>
      </c>
      <c r="G15" s="80"/>
      <c r="H15" s="80"/>
      <c r="I15" s="80"/>
      <c r="J15" s="80"/>
      <c r="K15" s="80"/>
      <c r="L15" s="234">
        <f t="shared" si="0"/>
        <v>89.738425672968361</v>
      </c>
      <c r="M15" s="104"/>
    </row>
    <row r="16" spans="1:13">
      <c r="A16" s="797"/>
      <c r="B16" s="470" t="s">
        <v>25</v>
      </c>
      <c r="C16" s="72" t="s">
        <v>26</v>
      </c>
      <c r="D16" s="496">
        <v>252000</v>
      </c>
      <c r="E16" s="70">
        <v>245223.53</v>
      </c>
      <c r="F16" s="70">
        <f>E16</f>
        <v>245223.53</v>
      </c>
      <c r="G16" s="70"/>
      <c r="H16" s="70"/>
      <c r="I16" s="70"/>
      <c r="J16" s="70"/>
      <c r="K16" s="70"/>
      <c r="L16" s="235">
        <f t="shared" si="0"/>
        <v>97.310924603174598</v>
      </c>
      <c r="M16" s="104"/>
    </row>
    <row r="17" spans="1:13">
      <c r="A17" s="800"/>
      <c r="B17" s="470" t="s">
        <v>30</v>
      </c>
      <c r="C17" s="123" t="s">
        <v>136</v>
      </c>
      <c r="D17" s="496">
        <v>49953</v>
      </c>
      <c r="E17" s="70">
        <v>25742.06</v>
      </c>
      <c r="F17" s="70">
        <f>E17</f>
        <v>25742.06</v>
      </c>
      <c r="G17" s="70"/>
      <c r="H17" s="70"/>
      <c r="I17" s="70"/>
      <c r="J17" s="70"/>
      <c r="K17" s="70"/>
      <c r="L17" s="235">
        <f t="shared" si="0"/>
        <v>51.532560606970556</v>
      </c>
      <c r="M17" s="104"/>
    </row>
    <row r="18" spans="1:13">
      <c r="A18" s="798"/>
      <c r="B18" s="73" t="s">
        <v>514</v>
      </c>
      <c r="C18" s="123" t="s">
        <v>88</v>
      </c>
      <c r="D18" s="496">
        <v>30</v>
      </c>
      <c r="E18" s="70">
        <v>29.2</v>
      </c>
      <c r="F18" s="70">
        <f>E18</f>
        <v>29.2</v>
      </c>
      <c r="G18" s="70"/>
      <c r="H18" s="70"/>
      <c r="I18" s="70"/>
      <c r="J18" s="70"/>
      <c r="K18" s="70"/>
      <c r="L18" s="235">
        <f t="shared" si="0"/>
        <v>97.333333333333329</v>
      </c>
      <c r="M18" s="104"/>
    </row>
    <row r="19" spans="1:13" s="3" customFormat="1">
      <c r="A19" s="236">
        <v>150</v>
      </c>
      <c r="B19" s="236"/>
      <c r="C19" s="125" t="s">
        <v>33</v>
      </c>
      <c r="D19" s="278">
        <f>D20</f>
        <v>38307</v>
      </c>
      <c r="E19" s="80">
        <f>E20</f>
        <v>37726.06</v>
      </c>
      <c r="F19" s="80">
        <f>E19</f>
        <v>37726.06</v>
      </c>
      <c r="G19" s="80">
        <f>G20</f>
        <v>24811.46</v>
      </c>
      <c r="H19" s="80">
        <f>H20</f>
        <v>4082.16</v>
      </c>
      <c r="I19" s="80"/>
      <c r="J19" s="80"/>
      <c r="K19" s="80"/>
      <c r="L19" s="234">
        <f t="shared" si="0"/>
        <v>98.483462552536082</v>
      </c>
      <c r="M19" s="104"/>
    </row>
    <row r="20" spans="1:13">
      <c r="A20" s="470"/>
      <c r="B20" s="470">
        <v>15011</v>
      </c>
      <c r="C20" s="123" t="s">
        <v>34</v>
      </c>
      <c r="D20" s="496">
        <v>38307</v>
      </c>
      <c r="E20" s="70">
        <v>37726.06</v>
      </c>
      <c r="F20" s="70">
        <f>E20</f>
        <v>37726.06</v>
      </c>
      <c r="G20" s="70">
        <f>15937.86+1973.6+6900</f>
        <v>24811.46</v>
      </c>
      <c r="H20" s="70">
        <f>3571.45+510.71</f>
        <v>4082.16</v>
      </c>
      <c r="I20" s="70"/>
      <c r="J20" s="70"/>
      <c r="K20" s="70"/>
      <c r="L20" s="235">
        <f t="shared" si="0"/>
        <v>98.483462552536082</v>
      </c>
      <c r="M20" s="104"/>
    </row>
    <row r="21" spans="1:13" s="3" customFormat="1">
      <c r="A21" s="236">
        <v>600</v>
      </c>
      <c r="B21" s="236"/>
      <c r="C21" s="125" t="s">
        <v>36</v>
      </c>
      <c r="D21" s="278">
        <f>D22+D23</f>
        <v>7123458</v>
      </c>
      <c r="E21" s="278">
        <f t="shared" ref="E21:K21" si="1">E22+E23</f>
        <v>7108572.2199999997</v>
      </c>
      <c r="F21" s="278">
        <f t="shared" si="1"/>
        <v>3625830.3099999996</v>
      </c>
      <c r="G21" s="278">
        <f t="shared" si="1"/>
        <v>620870.88</v>
      </c>
      <c r="H21" s="278">
        <f t="shared" si="1"/>
        <v>105906.83</v>
      </c>
      <c r="I21" s="278">
        <f t="shared" si="1"/>
        <v>0</v>
      </c>
      <c r="J21" s="278">
        <f t="shared" si="1"/>
        <v>0</v>
      </c>
      <c r="K21" s="278">
        <f t="shared" si="1"/>
        <v>3482741.91</v>
      </c>
      <c r="L21" s="234">
        <f t="shared" si="0"/>
        <v>99.791031546757196</v>
      </c>
      <c r="M21" s="104"/>
    </row>
    <row r="22" spans="1:13">
      <c r="A22" s="797"/>
      <c r="B22" s="470">
        <v>60014</v>
      </c>
      <c r="C22" s="123" t="s">
        <v>37</v>
      </c>
      <c r="D22" s="496">
        <v>6921506</v>
      </c>
      <c r="E22" s="70">
        <v>6906620.2199999997</v>
      </c>
      <c r="F22" s="70">
        <f>E22-K22</f>
        <v>3625830.3099999996</v>
      </c>
      <c r="G22" s="70">
        <f>578635.24+40942.36+1293.28</f>
        <v>620870.88</v>
      </c>
      <c r="H22" s="70">
        <f>92439.5+13467.33</f>
        <v>105906.83</v>
      </c>
      <c r="I22" s="70"/>
      <c r="J22" s="70"/>
      <c r="K22" s="70">
        <f>3042501.23+95670.68+118218+24400</f>
        <v>3280789.91</v>
      </c>
      <c r="L22" s="235">
        <f t="shared" si="0"/>
        <v>99.784934376998308</v>
      </c>
      <c r="M22" s="104"/>
    </row>
    <row r="23" spans="1:13">
      <c r="A23" s="798"/>
      <c r="B23" s="470">
        <v>60016</v>
      </c>
      <c r="C23" s="123" t="s">
        <v>608</v>
      </c>
      <c r="D23" s="496">
        <v>201952</v>
      </c>
      <c r="E23" s="70">
        <v>201952</v>
      </c>
      <c r="F23" s="70"/>
      <c r="G23" s="70"/>
      <c r="H23" s="70"/>
      <c r="I23" s="70"/>
      <c r="J23" s="70"/>
      <c r="K23" s="70">
        <f>E23</f>
        <v>201952</v>
      </c>
      <c r="L23" s="235">
        <f t="shared" si="0"/>
        <v>100</v>
      </c>
      <c r="M23" s="104"/>
    </row>
    <row r="24" spans="1:13" s="3" customFormat="1">
      <c r="A24" s="236">
        <v>700</v>
      </c>
      <c r="B24" s="236"/>
      <c r="C24" s="125" t="s">
        <v>44</v>
      </c>
      <c r="D24" s="278">
        <f>D25+D26</f>
        <v>476358</v>
      </c>
      <c r="E24" s="80">
        <f>E25+E26</f>
        <v>473743.04</v>
      </c>
      <c r="F24" s="80">
        <f>F25</f>
        <v>353978.14</v>
      </c>
      <c r="G24" s="80"/>
      <c r="H24" s="80"/>
      <c r="I24" s="80"/>
      <c r="J24" s="80"/>
      <c r="K24" s="80">
        <f>K25+K26</f>
        <v>119764.9</v>
      </c>
      <c r="L24" s="234">
        <f t="shared" si="0"/>
        <v>99.451051520075225</v>
      </c>
      <c r="M24" s="104"/>
    </row>
    <row r="25" spans="1:13" ht="13.5" customHeight="1">
      <c r="A25" s="797" t="s">
        <v>16</v>
      </c>
      <c r="B25" s="470">
        <v>70005</v>
      </c>
      <c r="C25" s="158" t="s">
        <v>45</v>
      </c>
      <c r="D25" s="496">
        <v>466358</v>
      </c>
      <c r="E25" s="70">
        <v>463743.04</v>
      </c>
      <c r="F25" s="70">
        <f>E25-K25</f>
        <v>353978.14</v>
      </c>
      <c r="G25" s="70"/>
      <c r="H25" s="70"/>
      <c r="I25" s="70"/>
      <c r="J25" s="70"/>
      <c r="K25" s="70">
        <f>11919.4+97845.5</f>
        <v>109764.9</v>
      </c>
      <c r="L25" s="235">
        <f t="shared" si="0"/>
        <v>99.439280552708425</v>
      </c>
      <c r="M25" s="104"/>
    </row>
    <row r="26" spans="1:13" ht="13.5" customHeight="1">
      <c r="A26" s="798"/>
      <c r="B26" s="470">
        <v>70095</v>
      </c>
      <c r="C26" s="72" t="s">
        <v>88</v>
      </c>
      <c r="D26" s="496">
        <v>10000</v>
      </c>
      <c r="E26" s="70">
        <v>10000</v>
      </c>
      <c r="F26" s="70"/>
      <c r="G26" s="70"/>
      <c r="H26" s="70"/>
      <c r="I26" s="70"/>
      <c r="J26" s="70"/>
      <c r="K26" s="70">
        <v>10000</v>
      </c>
      <c r="L26" s="235">
        <f t="shared" si="0"/>
        <v>100</v>
      </c>
      <c r="M26" s="104"/>
    </row>
    <row r="27" spans="1:13" s="3" customFormat="1">
      <c r="A27" s="236">
        <v>710</v>
      </c>
      <c r="B27" s="236"/>
      <c r="C27" s="125" t="s">
        <v>50</v>
      </c>
      <c r="D27" s="278">
        <f>D28+D29+D30</f>
        <v>347167</v>
      </c>
      <c r="E27" s="80">
        <f>E28+E29+E30</f>
        <v>346955.08</v>
      </c>
      <c r="F27" s="80">
        <f>E27-K27</f>
        <v>346955.08</v>
      </c>
      <c r="G27" s="80">
        <f>G28+G29+G30</f>
        <v>207793.36000000002</v>
      </c>
      <c r="H27" s="80">
        <f>H28+H29+H30</f>
        <v>37130.93</v>
      </c>
      <c r="I27" s="80"/>
      <c r="J27" s="80"/>
      <c r="K27" s="502">
        <f>K28+K29+K30</f>
        <v>0</v>
      </c>
      <c r="L27" s="234">
        <f t="shared" si="0"/>
        <v>99.938957331774048</v>
      </c>
      <c r="M27" s="104"/>
    </row>
    <row r="28" spans="1:13" ht="24" customHeight="1">
      <c r="A28" s="806" t="s">
        <v>16</v>
      </c>
      <c r="B28" s="470">
        <v>71013</v>
      </c>
      <c r="C28" s="158" t="s">
        <v>335</v>
      </c>
      <c r="D28" s="496">
        <v>58000</v>
      </c>
      <c r="E28" s="70">
        <v>58000</v>
      </c>
      <c r="F28" s="70">
        <f>E28</f>
        <v>58000</v>
      </c>
      <c r="G28" s="70"/>
      <c r="H28" s="70"/>
      <c r="I28" s="70"/>
      <c r="J28" s="70"/>
      <c r="K28" s="70"/>
      <c r="L28" s="235">
        <f t="shared" si="0"/>
        <v>100</v>
      </c>
      <c r="M28" s="104"/>
    </row>
    <row r="29" spans="1:13" ht="12.75" customHeight="1">
      <c r="A29" s="806"/>
      <c r="B29" s="470">
        <v>71014</v>
      </c>
      <c r="C29" s="150" t="s">
        <v>51</v>
      </c>
      <c r="D29" s="496">
        <v>17000</v>
      </c>
      <c r="E29" s="70">
        <v>17000</v>
      </c>
      <c r="F29" s="70">
        <f>E29</f>
        <v>17000</v>
      </c>
      <c r="G29" s="70"/>
      <c r="H29" s="70"/>
      <c r="I29" s="70"/>
      <c r="J29" s="70"/>
      <c r="K29" s="70"/>
      <c r="L29" s="235">
        <f t="shared" si="0"/>
        <v>100</v>
      </c>
      <c r="M29" s="104"/>
    </row>
    <row r="30" spans="1:13" ht="13.5" customHeight="1">
      <c r="A30" s="806"/>
      <c r="B30" s="470">
        <v>71015</v>
      </c>
      <c r="C30" s="72" t="s">
        <v>52</v>
      </c>
      <c r="D30" s="496">
        <v>272167</v>
      </c>
      <c r="E30" s="70">
        <v>271955.08</v>
      </c>
      <c r="F30" s="70">
        <f>E30</f>
        <v>271955.08</v>
      </c>
      <c r="G30" s="70">
        <f>66720+126984.32+14089.04</f>
        <v>207793.36000000002</v>
      </c>
      <c r="H30" s="70">
        <f>32104.64+5026.29</f>
        <v>37130.93</v>
      </c>
      <c r="I30" s="70"/>
      <c r="J30" s="70"/>
      <c r="K30" s="159"/>
      <c r="L30" s="235">
        <f t="shared" si="0"/>
        <v>99.922136041474545</v>
      </c>
      <c r="M30" s="104"/>
    </row>
    <row r="31" spans="1:13" s="3" customFormat="1">
      <c r="A31" s="236">
        <v>750</v>
      </c>
      <c r="B31" s="236"/>
      <c r="C31" s="112" t="s">
        <v>53</v>
      </c>
      <c r="D31" s="278">
        <f>SUM(D32:D37)</f>
        <v>5342036</v>
      </c>
      <c r="E31" s="80">
        <f>SUM(E32:E37)</f>
        <v>5329739.59</v>
      </c>
      <c r="F31" s="80">
        <f>E31-K31</f>
        <v>5291835.59</v>
      </c>
      <c r="G31" s="80">
        <f>SUM(G32:G37)</f>
        <v>2896251.6899999995</v>
      </c>
      <c r="H31" s="80">
        <f>SUM(H32:H37)</f>
        <v>459723.91</v>
      </c>
      <c r="I31" s="140"/>
      <c r="J31" s="140"/>
      <c r="K31" s="80">
        <f>SUM(K32:K37)</f>
        <v>37904</v>
      </c>
      <c r="L31" s="234">
        <f t="shared" si="0"/>
        <v>99.769817912121894</v>
      </c>
      <c r="M31" s="104"/>
    </row>
    <row r="32" spans="1:13">
      <c r="A32" s="806" t="s">
        <v>16</v>
      </c>
      <c r="B32" s="470">
        <v>75011</v>
      </c>
      <c r="C32" s="72" t="s">
        <v>54</v>
      </c>
      <c r="D32" s="496">
        <v>104200</v>
      </c>
      <c r="E32" s="70">
        <v>104200</v>
      </c>
      <c r="F32" s="70">
        <v>104200</v>
      </c>
      <c r="G32" s="70">
        <v>88650</v>
      </c>
      <c r="H32" s="70">
        <f>13380+2170</f>
        <v>15550</v>
      </c>
      <c r="I32" s="70"/>
      <c r="J32" s="70"/>
      <c r="K32" s="70"/>
      <c r="L32" s="235">
        <f t="shared" si="0"/>
        <v>100</v>
      </c>
      <c r="M32" s="104"/>
    </row>
    <row r="33" spans="1:13">
      <c r="A33" s="806"/>
      <c r="B33" s="470">
        <v>75019</v>
      </c>
      <c r="C33" s="72" t="s">
        <v>55</v>
      </c>
      <c r="D33" s="496">
        <v>205726</v>
      </c>
      <c r="E33" s="70">
        <v>205721.13</v>
      </c>
      <c r="F33" s="70">
        <f>E33</f>
        <v>205721.13</v>
      </c>
      <c r="G33" s="70"/>
      <c r="H33" s="70"/>
      <c r="I33" s="70"/>
      <c r="J33" s="70"/>
      <c r="K33" s="70"/>
      <c r="L33" s="235">
        <f t="shared" si="0"/>
        <v>99.997632773689276</v>
      </c>
      <c r="M33" s="104"/>
    </row>
    <row r="34" spans="1:13">
      <c r="A34" s="806"/>
      <c r="B34" s="470">
        <v>75020</v>
      </c>
      <c r="C34" s="72" t="s">
        <v>56</v>
      </c>
      <c r="D34" s="496">
        <v>4588587</v>
      </c>
      <c r="E34" s="70">
        <v>4576299.43</v>
      </c>
      <c r="F34" s="70">
        <f>E34-K34</f>
        <v>4542787.43</v>
      </c>
      <c r="G34" s="70">
        <f>2514956.51+178315.9+72817.28</f>
        <v>2766089.6899999995</v>
      </c>
      <c r="H34" s="70">
        <f>382500.38+61076.81</f>
        <v>443577.19</v>
      </c>
      <c r="I34" s="70"/>
      <c r="J34" s="70"/>
      <c r="K34" s="70">
        <f>22800+8540+2172</f>
        <v>33512</v>
      </c>
      <c r="L34" s="235">
        <f t="shared" si="0"/>
        <v>99.732214513966937</v>
      </c>
      <c r="M34" s="104"/>
    </row>
    <row r="35" spans="1:13">
      <c r="A35" s="806"/>
      <c r="B35" s="470">
        <v>75045</v>
      </c>
      <c r="C35" s="72" t="s">
        <v>607</v>
      </c>
      <c r="D35" s="496">
        <v>16760</v>
      </c>
      <c r="E35" s="70">
        <v>16758.189999999999</v>
      </c>
      <c r="F35" s="70">
        <f>E35</f>
        <v>16758.189999999999</v>
      </c>
      <c r="G35" s="70">
        <f>11579</f>
        <v>11579</v>
      </c>
      <c r="H35" s="70">
        <f>513.4+83.32</f>
        <v>596.72</v>
      </c>
      <c r="I35" s="70"/>
      <c r="J35" s="70"/>
      <c r="K35" s="70"/>
      <c r="L35" s="235">
        <f t="shared" si="0"/>
        <v>99.98920047732696</v>
      </c>
      <c r="M35" s="104"/>
    </row>
    <row r="36" spans="1:13">
      <c r="A36" s="806"/>
      <c r="B36" s="470">
        <v>75075</v>
      </c>
      <c r="C36" s="471" t="s">
        <v>137</v>
      </c>
      <c r="D36" s="496">
        <v>248571</v>
      </c>
      <c r="E36" s="70">
        <v>248569.74</v>
      </c>
      <c r="F36" s="70">
        <f>E36-K36</f>
        <v>244177.74</v>
      </c>
      <c r="G36" s="70">
        <v>29933</v>
      </c>
      <c r="H36" s="70"/>
      <c r="I36" s="70"/>
      <c r="J36" s="70"/>
      <c r="K36" s="70">
        <v>4392</v>
      </c>
      <c r="L36" s="235">
        <f t="shared" si="0"/>
        <v>99.999493102574306</v>
      </c>
      <c r="M36" s="104"/>
    </row>
    <row r="37" spans="1:13">
      <c r="A37" s="806"/>
      <c r="B37" s="470">
        <v>75095</v>
      </c>
      <c r="C37" s="72" t="s">
        <v>88</v>
      </c>
      <c r="D37" s="496">
        <v>178192</v>
      </c>
      <c r="E37" s="70">
        <v>178191.1</v>
      </c>
      <c r="F37" s="70">
        <f>E37</f>
        <v>178191.1</v>
      </c>
      <c r="G37" s="70"/>
      <c r="H37" s="70"/>
      <c r="I37" s="159"/>
      <c r="J37" s="70"/>
      <c r="K37" s="70"/>
      <c r="L37" s="235">
        <f t="shared" si="0"/>
        <v>99.999494926820503</v>
      </c>
      <c r="M37" s="104"/>
    </row>
    <row r="38" spans="1:13" s="3" customFormat="1" ht="24">
      <c r="A38" s="236">
        <v>754</v>
      </c>
      <c r="B38" s="236"/>
      <c r="C38" s="112" t="s">
        <v>63</v>
      </c>
      <c r="D38" s="278">
        <f>SUM(D39:D43)</f>
        <v>3535121</v>
      </c>
      <c r="E38" s="278">
        <f t="shared" ref="E38:K38" si="2">SUM(E39:E43)</f>
        <v>3481204.33</v>
      </c>
      <c r="F38" s="278">
        <f t="shared" si="2"/>
        <v>3001509.13</v>
      </c>
      <c r="G38" s="278">
        <f t="shared" si="2"/>
        <v>2414415.1900000004</v>
      </c>
      <c r="H38" s="278">
        <f t="shared" si="2"/>
        <v>14515.51</v>
      </c>
      <c r="I38" s="278">
        <f t="shared" si="2"/>
        <v>35000</v>
      </c>
      <c r="J38" s="278">
        <f t="shared" si="2"/>
        <v>0</v>
      </c>
      <c r="K38" s="278">
        <f t="shared" si="2"/>
        <v>479695.2</v>
      </c>
      <c r="L38" s="234">
        <f t="shared" si="0"/>
        <v>98.4748281600545</v>
      </c>
      <c r="M38" s="104"/>
    </row>
    <row r="39" spans="1:13" s="3" customFormat="1">
      <c r="A39" s="807"/>
      <c r="B39" s="470">
        <v>75405</v>
      </c>
      <c r="C39" s="72" t="s">
        <v>411</v>
      </c>
      <c r="D39" s="496">
        <v>61890</v>
      </c>
      <c r="E39" s="70">
        <v>61889.39</v>
      </c>
      <c r="F39" s="70">
        <f>E39-K39</f>
        <v>58389.39</v>
      </c>
      <c r="G39" s="70"/>
      <c r="H39" s="70"/>
      <c r="I39" s="70">
        <v>35000</v>
      </c>
      <c r="J39" s="70"/>
      <c r="K39" s="70">
        <v>3500</v>
      </c>
      <c r="L39" s="235">
        <f t="shared" si="0"/>
        <v>99.999014380352236</v>
      </c>
      <c r="M39" s="104"/>
    </row>
    <row r="40" spans="1:13" s="3" customFormat="1">
      <c r="A40" s="808"/>
      <c r="B40" s="470">
        <v>75406</v>
      </c>
      <c r="C40" s="72" t="s">
        <v>609</v>
      </c>
      <c r="D40" s="496">
        <v>4000</v>
      </c>
      <c r="E40" s="70">
        <v>3999.91</v>
      </c>
      <c r="F40" s="70">
        <f>E40</f>
        <v>3999.91</v>
      </c>
      <c r="G40" s="70"/>
      <c r="H40" s="70"/>
      <c r="I40" s="70"/>
      <c r="J40" s="70"/>
      <c r="K40" s="70"/>
      <c r="L40" s="235">
        <f t="shared" si="0"/>
        <v>99.997749999999996</v>
      </c>
      <c r="M40" s="104"/>
    </row>
    <row r="41" spans="1:13" ht="24">
      <c r="A41" s="808"/>
      <c r="B41" s="470">
        <v>75411</v>
      </c>
      <c r="C41" s="72" t="s">
        <v>138</v>
      </c>
      <c r="D41" s="496">
        <v>3369231</v>
      </c>
      <c r="E41" s="70">
        <v>3369180.47</v>
      </c>
      <c r="F41" s="70">
        <f>E41-K41</f>
        <v>2927985.27</v>
      </c>
      <c r="G41" s="70">
        <f>65058+2662.28+1991777+162724.9+150268.01+32325+9600</f>
        <v>2414415.1900000004</v>
      </c>
      <c r="H41" s="70">
        <f>12855.28+1660.23</f>
        <v>14515.51</v>
      </c>
      <c r="I41" s="70"/>
      <c r="J41" s="70"/>
      <c r="K41" s="70">
        <f>400000+33200+7995.2</f>
        <v>441195.2</v>
      </c>
      <c r="L41" s="235">
        <f t="shared" si="0"/>
        <v>99.99850025124428</v>
      </c>
      <c r="M41" s="104"/>
    </row>
    <row r="42" spans="1:13">
      <c r="A42" s="808"/>
      <c r="B42" s="470">
        <v>75412</v>
      </c>
      <c r="C42" s="72" t="s">
        <v>351</v>
      </c>
      <c r="D42" s="496">
        <v>35000</v>
      </c>
      <c r="E42" s="70">
        <v>35000</v>
      </c>
      <c r="F42" s="70"/>
      <c r="G42" s="70"/>
      <c r="H42" s="70"/>
      <c r="I42" s="70"/>
      <c r="J42" s="70"/>
      <c r="K42" s="70">
        <f>E42</f>
        <v>35000</v>
      </c>
      <c r="L42" s="235">
        <f t="shared" si="0"/>
        <v>100</v>
      </c>
      <c r="M42" s="104"/>
    </row>
    <row r="43" spans="1:13">
      <c r="A43" s="809"/>
      <c r="B43" s="470">
        <v>75421</v>
      </c>
      <c r="C43" s="72" t="s">
        <v>403</v>
      </c>
      <c r="D43" s="496">
        <v>65000</v>
      </c>
      <c r="E43" s="70">
        <v>11134.56</v>
      </c>
      <c r="F43" s="70">
        <f>E43</f>
        <v>11134.56</v>
      </c>
      <c r="G43" s="70"/>
      <c r="H43" s="70"/>
      <c r="I43" s="70"/>
      <c r="J43" s="70"/>
      <c r="K43" s="70"/>
      <c r="L43" s="235">
        <f t="shared" si="0"/>
        <v>17.130092307692308</v>
      </c>
      <c r="M43" s="104"/>
    </row>
    <row r="44" spans="1:13" s="3" customFormat="1">
      <c r="A44" s="236">
        <v>757</v>
      </c>
      <c r="B44" s="236"/>
      <c r="C44" s="112" t="s">
        <v>139</v>
      </c>
      <c r="D44" s="278">
        <f>D45</f>
        <v>379970</v>
      </c>
      <c r="E44" s="80">
        <f>E45</f>
        <v>371604.72</v>
      </c>
      <c r="F44" s="80">
        <f>E44</f>
        <v>371604.72</v>
      </c>
      <c r="G44" s="80"/>
      <c r="H44" s="80"/>
      <c r="I44" s="80"/>
      <c r="J44" s="80">
        <f>J45</f>
        <v>371604.72</v>
      </c>
      <c r="K44" s="80"/>
      <c r="L44" s="234">
        <f t="shared" si="0"/>
        <v>97.798436718688308</v>
      </c>
      <c r="M44" s="104"/>
    </row>
    <row r="45" spans="1:13" ht="24">
      <c r="A45" s="470"/>
      <c r="B45" s="470">
        <v>75702</v>
      </c>
      <c r="C45" s="72" t="s">
        <v>140</v>
      </c>
      <c r="D45" s="496">
        <v>379970</v>
      </c>
      <c r="E45" s="70">
        <v>371604.72</v>
      </c>
      <c r="F45" s="70">
        <f>E45</f>
        <v>371604.72</v>
      </c>
      <c r="G45" s="70"/>
      <c r="H45" s="70"/>
      <c r="I45" s="70"/>
      <c r="J45" s="70">
        <f>F45</f>
        <v>371604.72</v>
      </c>
      <c r="K45" s="70"/>
      <c r="L45" s="235">
        <f t="shared" si="0"/>
        <v>97.798436718688308</v>
      </c>
      <c r="M45" s="104"/>
    </row>
    <row r="46" spans="1:13" s="3" customFormat="1">
      <c r="A46" s="236">
        <v>801</v>
      </c>
      <c r="B46" s="236"/>
      <c r="C46" s="112" t="s">
        <v>76</v>
      </c>
      <c r="D46" s="278">
        <f>SUM(D47:D56)</f>
        <v>12530674.68</v>
      </c>
      <c r="E46" s="80">
        <f>SUM(E47:E56)</f>
        <v>12432383.17</v>
      </c>
      <c r="F46" s="80">
        <f>E46-K46</f>
        <v>12253457.91</v>
      </c>
      <c r="G46" s="80">
        <f>SUM(G47:G56)</f>
        <v>7321389.4800000004</v>
      </c>
      <c r="H46" s="80">
        <f>SUM(H47:H56)</f>
        <v>1272061.7600000002</v>
      </c>
      <c r="I46" s="80">
        <f>SUM(I47:I56)</f>
        <v>1360503.5999999999</v>
      </c>
      <c r="J46" s="80"/>
      <c r="K46" s="80">
        <f>SUM(K47:K56)</f>
        <v>178925.25999999998</v>
      </c>
      <c r="L46" s="234">
        <f t="shared" si="0"/>
        <v>99.215592835101845</v>
      </c>
      <c r="M46" s="104"/>
    </row>
    <row r="47" spans="1:13">
      <c r="A47" s="806"/>
      <c r="B47" s="470">
        <v>80102</v>
      </c>
      <c r="C47" s="72" t="s">
        <v>77</v>
      </c>
      <c r="D47" s="496">
        <v>1036053</v>
      </c>
      <c r="E47" s="70">
        <v>1036051.53</v>
      </c>
      <c r="F47" s="70">
        <f>E47</f>
        <v>1036051.53</v>
      </c>
      <c r="G47" s="70">
        <f>696100+55101+440.9</f>
        <v>751641.9</v>
      </c>
      <c r="H47" s="70">
        <f>111163+17390</f>
        <v>128553</v>
      </c>
      <c r="I47" s="70"/>
      <c r="J47" s="70"/>
      <c r="K47" s="70"/>
      <c r="L47" s="235">
        <f t="shared" si="0"/>
        <v>99.999858115366692</v>
      </c>
      <c r="M47" s="104"/>
    </row>
    <row r="48" spans="1:13">
      <c r="A48" s="806"/>
      <c r="B48" s="470">
        <v>80111</v>
      </c>
      <c r="C48" s="72" t="s">
        <v>78</v>
      </c>
      <c r="D48" s="496">
        <v>920397</v>
      </c>
      <c r="E48" s="70">
        <v>920396.54</v>
      </c>
      <c r="F48" s="70">
        <f>E48-K48</f>
        <v>916004.54</v>
      </c>
      <c r="G48" s="70">
        <f>238060+17517.54+425712+26466</f>
        <v>707755.54</v>
      </c>
      <c r="H48" s="70">
        <f>51294+6735+61913+10407</f>
        <v>130349</v>
      </c>
      <c r="I48" s="70"/>
      <c r="J48" s="70"/>
      <c r="K48" s="70">
        <v>4392</v>
      </c>
      <c r="L48" s="235">
        <f t="shared" si="0"/>
        <v>99.999950021566789</v>
      </c>
      <c r="M48" s="104"/>
    </row>
    <row r="49" spans="1:13">
      <c r="A49" s="806"/>
      <c r="B49" s="470">
        <v>80120</v>
      </c>
      <c r="C49" s="72" t="s">
        <v>79</v>
      </c>
      <c r="D49" s="496">
        <v>4301740</v>
      </c>
      <c r="E49" s="70">
        <v>4295253.28</v>
      </c>
      <c r="F49" s="70">
        <f>E49-K49</f>
        <v>4281767.28</v>
      </c>
      <c r="G49" s="70">
        <f>1480277.04+108960.64+16627+560937+40553+6165+237127.42+15718.6+691.87+90500+7752.43</f>
        <v>2565310</v>
      </c>
      <c r="H49" s="70">
        <f>235804.4+40225.08+96612+14803.47+38893.4+6343.17+15071+2389</f>
        <v>450141.51999999996</v>
      </c>
      <c r="I49" s="578">
        <v>458073.59999999998</v>
      </c>
      <c r="J49" s="70"/>
      <c r="K49" s="70">
        <v>13486</v>
      </c>
      <c r="L49" s="235">
        <f t="shared" si="0"/>
        <v>99.849207065048105</v>
      </c>
      <c r="M49" s="104"/>
    </row>
    <row r="50" spans="1:13">
      <c r="A50" s="806"/>
      <c r="B50" s="470">
        <v>80123</v>
      </c>
      <c r="C50" s="72" t="s">
        <v>85</v>
      </c>
      <c r="D50" s="496">
        <v>534739</v>
      </c>
      <c r="E50" s="70">
        <v>530633.6</v>
      </c>
      <c r="F50" s="70">
        <f>E50</f>
        <v>530633.6</v>
      </c>
      <c r="G50" s="70">
        <f>65316.24+7259.1</f>
        <v>72575.34</v>
      </c>
      <c r="H50" s="70">
        <f>11666.94+1864.72</f>
        <v>13531.66</v>
      </c>
      <c r="I50" s="578">
        <v>416946.9</v>
      </c>
      <c r="J50" s="70"/>
      <c r="K50" s="70"/>
      <c r="L50" s="235">
        <f t="shared" si="0"/>
        <v>99.232260972175197</v>
      </c>
      <c r="M50" s="104"/>
    </row>
    <row r="51" spans="1:13">
      <c r="A51" s="806"/>
      <c r="B51" s="470">
        <v>80130</v>
      </c>
      <c r="C51" s="72" t="s">
        <v>86</v>
      </c>
      <c r="D51" s="496">
        <v>5024543</v>
      </c>
      <c r="E51" s="70">
        <v>5006285.1399999997</v>
      </c>
      <c r="F51" s="70">
        <f>E51-K51</f>
        <v>4845237.88</v>
      </c>
      <c r="G51" s="70">
        <f>471440+37872.43+2232144+156723.56+10989.45+164621.97+10479.06+510.13</f>
        <v>3084780.6000000006</v>
      </c>
      <c r="H51" s="70">
        <f>81968+13351+347285+54429+26908.44+4388.5</f>
        <v>528329.93999999994</v>
      </c>
      <c r="I51" s="578">
        <v>342087.9</v>
      </c>
      <c r="J51" s="70"/>
      <c r="K51" s="70">
        <f>17025.1+127822.17+16199.99</f>
        <v>161047.25999999998</v>
      </c>
      <c r="L51" s="235">
        <f t="shared" si="0"/>
        <v>99.636626455381105</v>
      </c>
      <c r="M51" s="104"/>
    </row>
    <row r="52" spans="1:13" ht="36">
      <c r="A52" s="806"/>
      <c r="B52" s="470">
        <v>80140</v>
      </c>
      <c r="C52" s="72" t="s">
        <v>406</v>
      </c>
      <c r="D52" s="496">
        <v>234093</v>
      </c>
      <c r="E52" s="70">
        <v>234092.06</v>
      </c>
      <c r="F52" s="70">
        <f>E52</f>
        <v>234092.06</v>
      </c>
      <c r="G52" s="70">
        <f>31500+2107.47+33000</f>
        <v>66607.47</v>
      </c>
      <c r="H52" s="70">
        <f>8101+1301</f>
        <v>9402</v>
      </c>
      <c r="I52" s="70"/>
      <c r="J52" s="70"/>
      <c r="K52" s="70"/>
      <c r="L52" s="235">
        <f t="shared" si="0"/>
        <v>99.9995984501886</v>
      </c>
      <c r="M52" s="104"/>
    </row>
    <row r="53" spans="1:13" ht="24">
      <c r="A53" s="806"/>
      <c r="B53" s="470">
        <v>80144</v>
      </c>
      <c r="C53" s="72" t="s">
        <v>610</v>
      </c>
      <c r="D53" s="496">
        <v>143396</v>
      </c>
      <c r="E53" s="70">
        <v>143395.20000000001</v>
      </c>
      <c r="F53" s="70">
        <f>E53</f>
        <v>143395.20000000001</v>
      </c>
      <c r="G53" s="70"/>
      <c r="H53" s="70"/>
      <c r="I53" s="70">
        <f>F53</f>
        <v>143395.20000000001</v>
      </c>
      <c r="J53" s="70"/>
      <c r="K53" s="70"/>
      <c r="L53" s="235">
        <f t="shared" si="0"/>
        <v>99.999442104382268</v>
      </c>
      <c r="M53" s="104"/>
    </row>
    <row r="54" spans="1:13" ht="12.75" customHeight="1">
      <c r="A54" s="806"/>
      <c r="B54" s="470">
        <v>80146</v>
      </c>
      <c r="C54" s="150" t="s">
        <v>141</v>
      </c>
      <c r="D54" s="496">
        <v>55799</v>
      </c>
      <c r="E54" s="70">
        <v>42577.23</v>
      </c>
      <c r="F54" s="70">
        <f>E54</f>
        <v>42577.23</v>
      </c>
      <c r="G54" s="70"/>
      <c r="H54" s="70"/>
      <c r="I54" s="70"/>
      <c r="J54" s="70"/>
      <c r="K54" s="70"/>
      <c r="L54" s="235">
        <f t="shared" si="0"/>
        <v>76.304647036685253</v>
      </c>
      <c r="M54" s="104"/>
    </row>
    <row r="55" spans="1:13" ht="12.75" customHeight="1">
      <c r="A55" s="806"/>
      <c r="B55" s="470">
        <v>80148</v>
      </c>
      <c r="C55" s="150" t="s">
        <v>412</v>
      </c>
      <c r="D55" s="496">
        <v>213133</v>
      </c>
      <c r="E55" s="70">
        <v>213132.77</v>
      </c>
      <c r="F55" s="70">
        <f>E55</f>
        <v>213132.77</v>
      </c>
      <c r="G55" s="70">
        <f>59259.89+4146</f>
        <v>63405.89</v>
      </c>
      <c r="H55" s="70">
        <f>8995.56+1506</f>
        <v>10501.56</v>
      </c>
      <c r="I55" s="70"/>
      <c r="J55" s="70"/>
      <c r="K55" s="70"/>
      <c r="L55" s="235">
        <f t="shared" si="0"/>
        <v>99.999892086162163</v>
      </c>
      <c r="M55" s="104"/>
    </row>
    <row r="56" spans="1:13">
      <c r="A56" s="806"/>
      <c r="B56" s="470">
        <v>80195</v>
      </c>
      <c r="C56" s="72" t="s">
        <v>88</v>
      </c>
      <c r="D56" s="496">
        <v>66781.679999999993</v>
      </c>
      <c r="E56" s="70">
        <v>10565.82</v>
      </c>
      <c r="F56" s="70">
        <f>E56</f>
        <v>10565.82</v>
      </c>
      <c r="G56" s="70">
        <f>1992.34+166.15+2004.4+1044.88+238.68+2208.29+1658</f>
        <v>9312.74</v>
      </c>
      <c r="H56" s="70">
        <f>302.63+18.52+310+49+157.78+25.6+335.45+54.1</f>
        <v>1253.08</v>
      </c>
      <c r="I56" s="70"/>
      <c r="J56" s="70"/>
      <c r="K56" s="70"/>
      <c r="L56" s="235">
        <f t="shared" si="0"/>
        <v>15.821434860578531</v>
      </c>
      <c r="M56" s="104"/>
    </row>
    <row r="57" spans="1:13" s="3" customFormat="1">
      <c r="A57" s="236">
        <v>851</v>
      </c>
      <c r="B57" s="236"/>
      <c r="C57" s="117" t="s">
        <v>91</v>
      </c>
      <c r="D57" s="278">
        <f>SUM(D58:D60)</f>
        <v>3987773</v>
      </c>
      <c r="E57" s="278">
        <f t="shared" ref="E57:K57" si="3">SUM(E58:E60)</f>
        <v>3973858.43</v>
      </c>
      <c r="F57" s="278">
        <f t="shared" si="3"/>
        <v>2394090.7199999997</v>
      </c>
      <c r="G57" s="278">
        <f t="shared" si="3"/>
        <v>8978.9500000000007</v>
      </c>
      <c r="H57" s="278">
        <f t="shared" si="3"/>
        <v>0</v>
      </c>
      <c r="I57" s="278">
        <f t="shared" si="3"/>
        <v>26848.77</v>
      </c>
      <c r="J57" s="278">
        <f t="shared" si="3"/>
        <v>0</v>
      </c>
      <c r="K57" s="278">
        <f t="shared" si="3"/>
        <v>1579767.7100000002</v>
      </c>
      <c r="L57" s="234">
        <f t="shared" si="0"/>
        <v>99.651069155641508</v>
      </c>
      <c r="M57" s="104"/>
    </row>
    <row r="58" spans="1:13" s="4" customFormat="1">
      <c r="A58" s="797"/>
      <c r="B58" s="470">
        <v>85111</v>
      </c>
      <c r="C58" s="471" t="s">
        <v>92</v>
      </c>
      <c r="D58" s="496">
        <v>1616000</v>
      </c>
      <c r="E58" s="70">
        <v>1606616.48</v>
      </c>
      <c r="F58" s="70">
        <f>E58-K58</f>
        <v>26848.769999999786</v>
      </c>
      <c r="G58" s="70"/>
      <c r="H58" s="70"/>
      <c r="I58" s="496">
        <f>13807.67+13041.1</f>
        <v>26848.77</v>
      </c>
      <c r="J58" s="70"/>
      <c r="K58" s="233">
        <f>1374768.12+204999.59</f>
        <v>1579767.7100000002</v>
      </c>
      <c r="L58" s="235">
        <f t="shared" si="0"/>
        <v>99.419336633663363</v>
      </c>
      <c r="M58" s="104"/>
    </row>
    <row r="59" spans="1:13" ht="24.75" customHeight="1">
      <c r="A59" s="800"/>
      <c r="B59" s="470">
        <v>85156</v>
      </c>
      <c r="C59" s="448" t="s">
        <v>93</v>
      </c>
      <c r="D59" s="496">
        <v>2362000</v>
      </c>
      <c r="E59" s="70">
        <v>2358263</v>
      </c>
      <c r="F59" s="70">
        <f>E59</f>
        <v>2358263</v>
      </c>
      <c r="G59" s="70"/>
      <c r="H59" s="70"/>
      <c r="I59" s="70"/>
      <c r="J59" s="70"/>
      <c r="K59" s="70"/>
      <c r="L59" s="235">
        <f t="shared" si="0"/>
        <v>99.841786621507197</v>
      </c>
      <c r="M59" s="104"/>
    </row>
    <row r="60" spans="1:13" ht="13.5" customHeight="1">
      <c r="A60" s="798"/>
      <c r="B60" s="470">
        <v>85195</v>
      </c>
      <c r="C60" s="448" t="s">
        <v>88</v>
      </c>
      <c r="D60" s="496">
        <v>9773</v>
      </c>
      <c r="E60" s="70">
        <v>8978.9500000000007</v>
      </c>
      <c r="F60" s="70">
        <f>E60</f>
        <v>8978.9500000000007</v>
      </c>
      <c r="G60" s="70">
        <f>F60</f>
        <v>8978.9500000000007</v>
      </c>
      <c r="H60" s="70"/>
      <c r="I60" s="70"/>
      <c r="J60" s="70"/>
      <c r="K60" s="70"/>
      <c r="L60" s="235">
        <f t="shared" si="0"/>
        <v>91.87506395170368</v>
      </c>
      <c r="M60" s="104"/>
    </row>
    <row r="61" spans="1:13" s="3" customFormat="1">
      <c r="A61" s="236">
        <v>852</v>
      </c>
      <c r="B61" s="236"/>
      <c r="C61" s="112" t="s">
        <v>94</v>
      </c>
      <c r="D61" s="278">
        <f>SUM(D62:D69)</f>
        <v>9740094</v>
      </c>
      <c r="E61" s="278">
        <f t="shared" ref="E61:K61" si="4">SUM(E62:E69)</f>
        <v>9506634.4300000016</v>
      </c>
      <c r="F61" s="278">
        <f t="shared" si="4"/>
        <v>9145851.0500000007</v>
      </c>
      <c r="G61" s="278">
        <f t="shared" si="4"/>
        <v>1985360.5899999999</v>
      </c>
      <c r="H61" s="278">
        <f t="shared" si="4"/>
        <v>335264.09999999998</v>
      </c>
      <c r="I61" s="278">
        <f t="shared" si="4"/>
        <v>4050802.11</v>
      </c>
      <c r="J61" s="278">
        <f t="shared" si="4"/>
        <v>0</v>
      </c>
      <c r="K61" s="278">
        <f t="shared" si="4"/>
        <v>360783.38</v>
      </c>
      <c r="L61" s="234">
        <f t="shared" si="0"/>
        <v>97.603107629146109</v>
      </c>
      <c r="M61" s="104"/>
    </row>
    <row r="62" spans="1:13" s="4" customFormat="1">
      <c r="A62" s="797"/>
      <c r="B62" s="470">
        <v>85201</v>
      </c>
      <c r="C62" s="72" t="s">
        <v>95</v>
      </c>
      <c r="D62" s="496">
        <v>4047739</v>
      </c>
      <c r="E62" s="70">
        <v>4017802</v>
      </c>
      <c r="F62" s="70">
        <f>E62</f>
        <v>4017802</v>
      </c>
      <c r="G62" s="70">
        <f>886378.1+61214.2+28722.48+39562+2757.84</f>
        <v>1018634.6199999999</v>
      </c>
      <c r="H62" s="70">
        <f>143819.87+22289.23+6756.37+1036.86</f>
        <v>173902.33</v>
      </c>
      <c r="I62" s="70">
        <f>65433.51+1812693.41+97</f>
        <v>1878223.92</v>
      </c>
      <c r="J62" s="70"/>
      <c r="K62" s="70"/>
      <c r="L62" s="235">
        <f t="shared" si="0"/>
        <v>99.260401918206682</v>
      </c>
      <c r="M62" s="104"/>
    </row>
    <row r="63" spans="1:13" s="4" customFormat="1">
      <c r="A63" s="800"/>
      <c r="B63" s="470">
        <v>85202</v>
      </c>
      <c r="C63" s="72" t="s">
        <v>97</v>
      </c>
      <c r="D63" s="496">
        <v>2414291</v>
      </c>
      <c r="E63" s="70">
        <v>2414290.38</v>
      </c>
      <c r="F63" s="70">
        <f>E63-K63</f>
        <v>2053507</v>
      </c>
      <c r="G63" s="70"/>
      <c r="H63" s="70"/>
      <c r="I63" s="70">
        <f>F63</f>
        <v>2053507</v>
      </c>
      <c r="J63" s="70"/>
      <c r="K63" s="159">
        <v>360783.38</v>
      </c>
      <c r="L63" s="235">
        <f t="shared" si="0"/>
        <v>99.999974319582847</v>
      </c>
      <c r="M63" s="104"/>
    </row>
    <row r="64" spans="1:13">
      <c r="A64" s="800"/>
      <c r="B64" s="470">
        <v>85203</v>
      </c>
      <c r="C64" s="72" t="s">
        <v>98</v>
      </c>
      <c r="D64" s="496">
        <v>713526</v>
      </c>
      <c r="E64" s="70">
        <v>713435.19</v>
      </c>
      <c r="F64" s="70">
        <f t="shared" ref="F64:F69" si="5">E64</f>
        <v>713435.19</v>
      </c>
      <c r="G64" s="70">
        <f>142203.79+9808.73+25717+226342.68+15979.77+3150</f>
        <v>423201.97000000003</v>
      </c>
      <c r="H64" s="70">
        <f>23946.22+3733.76+37089.93+5788.76</f>
        <v>70558.67</v>
      </c>
      <c r="I64" s="70"/>
      <c r="J64" s="70"/>
      <c r="K64" s="159"/>
      <c r="L64" s="235">
        <f t="shared" si="0"/>
        <v>99.987273063630468</v>
      </c>
      <c r="M64" s="104"/>
    </row>
    <row r="65" spans="1:13">
      <c r="A65" s="800"/>
      <c r="B65" s="470">
        <v>85204</v>
      </c>
      <c r="C65" s="72" t="s">
        <v>100</v>
      </c>
      <c r="D65" s="496">
        <v>1782886</v>
      </c>
      <c r="E65" s="70">
        <v>1593007.68</v>
      </c>
      <c r="F65" s="70">
        <f t="shared" si="5"/>
        <v>1593007.68</v>
      </c>
      <c r="G65" s="70">
        <v>115824.2</v>
      </c>
      <c r="H65" s="70">
        <f>17751.98+2759.26</f>
        <v>20511.239999999998</v>
      </c>
      <c r="I65" s="70">
        <f>119071.19</f>
        <v>119071.19</v>
      </c>
      <c r="J65" s="70"/>
      <c r="K65" s="70"/>
      <c r="L65" s="235">
        <f t="shared" si="0"/>
        <v>89.349946098628848</v>
      </c>
      <c r="M65" s="104"/>
    </row>
    <row r="66" spans="1:13" ht="12.75" customHeight="1">
      <c r="A66" s="800"/>
      <c r="B66" s="470">
        <v>85218</v>
      </c>
      <c r="C66" s="72" t="s">
        <v>101</v>
      </c>
      <c r="D66" s="496">
        <v>553554</v>
      </c>
      <c r="E66" s="70">
        <v>540489.13</v>
      </c>
      <c r="F66" s="70">
        <f t="shared" si="5"/>
        <v>540489.13</v>
      </c>
      <c r="G66" s="70">
        <f>264960.72+19019.25+4830</f>
        <v>288809.96999999997</v>
      </c>
      <c r="H66" s="70">
        <f>40149.82+6969.4</f>
        <v>47119.22</v>
      </c>
      <c r="I66" s="70"/>
      <c r="J66" s="70"/>
      <c r="K66" s="70"/>
      <c r="L66" s="235">
        <f t="shared" si="0"/>
        <v>97.639820144014848</v>
      </c>
      <c r="M66" s="104"/>
    </row>
    <row r="67" spans="1:13">
      <c r="A67" s="800"/>
      <c r="B67" s="470">
        <v>85226</v>
      </c>
      <c r="C67" s="240" t="s">
        <v>611</v>
      </c>
      <c r="D67" s="496">
        <v>168986</v>
      </c>
      <c r="E67" s="70">
        <v>168981.23</v>
      </c>
      <c r="F67" s="70">
        <f t="shared" si="5"/>
        <v>168981.23</v>
      </c>
      <c r="G67" s="70">
        <f>116893+9196.83</f>
        <v>126089.83</v>
      </c>
      <c r="H67" s="70">
        <f>20009.34+3163.3</f>
        <v>23172.639999999999</v>
      </c>
      <c r="I67" s="70"/>
      <c r="J67" s="70"/>
      <c r="K67" s="70"/>
      <c r="L67" s="235">
        <f t="shared" si="0"/>
        <v>99.997177280958198</v>
      </c>
      <c r="M67" s="104"/>
    </row>
    <row r="68" spans="1:13" ht="12.75" customHeight="1">
      <c r="A68" s="800"/>
      <c r="B68" s="470">
        <v>85233</v>
      </c>
      <c r="C68" s="69" t="s">
        <v>141</v>
      </c>
      <c r="D68" s="496">
        <v>2583</v>
      </c>
      <c r="E68" s="70">
        <v>2099.8200000000002</v>
      </c>
      <c r="F68" s="70">
        <f t="shared" si="5"/>
        <v>2099.8200000000002</v>
      </c>
      <c r="G68" s="70"/>
      <c r="H68" s="70"/>
      <c r="I68" s="70"/>
      <c r="J68" s="70"/>
      <c r="K68" s="70"/>
      <c r="L68" s="235">
        <f t="shared" si="0"/>
        <v>81.293844367015097</v>
      </c>
      <c r="M68" s="104"/>
    </row>
    <row r="69" spans="1:13" ht="12.75" customHeight="1">
      <c r="A69" s="798"/>
      <c r="B69" s="470">
        <v>85295</v>
      </c>
      <c r="C69" s="448" t="s">
        <v>88</v>
      </c>
      <c r="D69" s="496">
        <v>56529</v>
      </c>
      <c r="E69" s="70">
        <v>56529</v>
      </c>
      <c r="F69" s="70">
        <f t="shared" si="5"/>
        <v>56529</v>
      </c>
      <c r="G69" s="70">
        <v>12800</v>
      </c>
      <c r="H69" s="70"/>
      <c r="I69" s="70"/>
      <c r="J69" s="70"/>
      <c r="K69" s="70"/>
      <c r="L69" s="235">
        <f t="shared" si="0"/>
        <v>100</v>
      </c>
      <c r="M69" s="104"/>
    </row>
    <row r="70" spans="1:13" s="3" customFormat="1" ht="24">
      <c r="A70" s="236">
        <v>853</v>
      </c>
      <c r="B70" s="236"/>
      <c r="C70" s="112" t="s">
        <v>142</v>
      </c>
      <c r="D70" s="278">
        <f>D72+D73+D75+D74+D71</f>
        <v>3146199.8</v>
      </c>
      <c r="E70" s="80">
        <f>SUM(E71:E75)</f>
        <v>3129765.73</v>
      </c>
      <c r="F70" s="80">
        <f>SUM(F71:F75)</f>
        <v>3119377.19</v>
      </c>
      <c r="G70" s="80">
        <f>G72+G73+G75+G71</f>
        <v>1772385.29</v>
      </c>
      <c r="H70" s="80">
        <f>H72+H73+H75+H71</f>
        <v>287600.86</v>
      </c>
      <c r="I70" s="80">
        <f>I72+I73+I75+I71</f>
        <v>640617.87</v>
      </c>
      <c r="J70" s="80"/>
      <c r="K70" s="80">
        <f>K72+K73+K75+K71</f>
        <v>10388.540000000001</v>
      </c>
      <c r="L70" s="234">
        <f t="shared" si="0"/>
        <v>99.477653326403498</v>
      </c>
      <c r="M70" s="104"/>
    </row>
    <row r="71" spans="1:13" s="4" customFormat="1" ht="24">
      <c r="A71" s="797"/>
      <c r="B71" s="470">
        <v>85311</v>
      </c>
      <c r="C71" s="72" t="s">
        <v>339</v>
      </c>
      <c r="D71" s="496">
        <v>82200</v>
      </c>
      <c r="E71" s="70">
        <v>82200</v>
      </c>
      <c r="F71" s="70">
        <f>E71</f>
        <v>82200</v>
      </c>
      <c r="G71" s="70"/>
      <c r="H71" s="70"/>
      <c r="I71" s="70">
        <v>82200</v>
      </c>
      <c r="J71" s="70"/>
      <c r="K71" s="159"/>
      <c r="L71" s="235">
        <f t="shared" si="0"/>
        <v>100</v>
      </c>
      <c r="M71" s="105"/>
    </row>
    <row r="72" spans="1:13" ht="24">
      <c r="A72" s="800"/>
      <c r="B72" s="470">
        <v>85321</v>
      </c>
      <c r="C72" s="72" t="s">
        <v>628</v>
      </c>
      <c r="D72" s="496">
        <v>81000</v>
      </c>
      <c r="E72" s="70">
        <v>80947.03</v>
      </c>
      <c r="F72" s="70">
        <f>E72</f>
        <v>80947.03</v>
      </c>
      <c r="G72" s="70">
        <f>27211.52+2180.12+16224</f>
        <v>45615.64</v>
      </c>
      <c r="H72" s="70">
        <f>4805.85+710.42</f>
        <v>5516.27</v>
      </c>
      <c r="I72" s="70"/>
      <c r="J72" s="70"/>
      <c r="K72" s="159"/>
      <c r="L72" s="235">
        <f t="shared" si="0"/>
        <v>99.934604938271605</v>
      </c>
      <c r="M72" s="104"/>
    </row>
    <row r="73" spans="1:13">
      <c r="A73" s="800"/>
      <c r="B73" s="470">
        <v>85333</v>
      </c>
      <c r="C73" s="72" t="s">
        <v>103</v>
      </c>
      <c r="D73" s="496">
        <v>1798412</v>
      </c>
      <c r="E73" s="70">
        <v>1798406.67</v>
      </c>
      <c r="F73" s="70">
        <f>E73-K73</f>
        <v>1788018.13</v>
      </c>
      <c r="G73" s="70">
        <f>1293385.99+84598.07+31230</f>
        <v>1409214.06</v>
      </c>
      <c r="H73" s="70">
        <f>210682.63+32340.37</f>
        <v>243023</v>
      </c>
      <c r="I73" s="70"/>
      <c r="J73" s="70"/>
      <c r="K73" s="159">
        <f>6606.54+3782</f>
        <v>10388.540000000001</v>
      </c>
      <c r="L73" s="235">
        <f t="shared" si="0"/>
        <v>99.999703627422406</v>
      </c>
      <c r="M73" s="104"/>
    </row>
    <row r="74" spans="1:13">
      <c r="A74" s="800"/>
      <c r="B74" s="470">
        <v>85334</v>
      </c>
      <c r="C74" s="72" t="s">
        <v>104</v>
      </c>
      <c r="D74" s="496">
        <v>43915</v>
      </c>
      <c r="E74" s="70">
        <v>42788.6</v>
      </c>
      <c r="F74" s="70">
        <f>E74</f>
        <v>42788.6</v>
      </c>
      <c r="G74" s="70"/>
      <c r="H74" s="70"/>
      <c r="I74" s="70"/>
      <c r="J74" s="70"/>
      <c r="K74" s="159"/>
      <c r="L74" s="235">
        <f t="shared" si="0"/>
        <v>97.435044973243762</v>
      </c>
      <c r="M74" s="104"/>
    </row>
    <row r="75" spans="1:13">
      <c r="A75" s="798"/>
      <c r="B75" s="470">
        <v>85395</v>
      </c>
      <c r="C75" s="72" t="s">
        <v>88</v>
      </c>
      <c r="D75" s="496">
        <v>1140672.8</v>
      </c>
      <c r="E75" s="70">
        <v>1125423.43</v>
      </c>
      <c r="F75" s="70">
        <f>E75</f>
        <v>1125423.43</v>
      </c>
      <c r="G75" s="70">
        <f>31677.26+1864.95+138782.71+8170.62+67766.54+3968.85+38835.16+2818.5+23671</f>
        <v>317555.58999999997</v>
      </c>
      <c r="H75" s="70">
        <f>14551.82+856.7+2260.29+133.04+10330.98+1676.3+8045.29+1207.17</f>
        <v>39061.589999999997</v>
      </c>
      <c r="I75" s="70">
        <f>706.14+526149.58+30949.1+613.05</f>
        <v>558417.87</v>
      </c>
      <c r="J75" s="70"/>
      <c r="K75" s="159"/>
      <c r="L75" s="235">
        <f t="shared" si="0"/>
        <v>98.663124955727881</v>
      </c>
      <c r="M75" s="104"/>
    </row>
    <row r="76" spans="1:13" s="3" customFormat="1">
      <c r="A76" s="236">
        <v>854</v>
      </c>
      <c r="B76" s="236" t="s">
        <v>16</v>
      </c>
      <c r="C76" s="112" t="s">
        <v>105</v>
      </c>
      <c r="D76" s="278">
        <f t="shared" ref="D76:I76" si="6">SUM(D77:D83)</f>
        <v>4430068</v>
      </c>
      <c r="E76" s="80">
        <f t="shared" si="6"/>
        <v>4388355.99</v>
      </c>
      <c r="F76" s="80">
        <f t="shared" si="6"/>
        <v>4292610.2600000007</v>
      </c>
      <c r="G76" s="80">
        <f t="shared" si="6"/>
        <v>1797148.6199999999</v>
      </c>
      <c r="H76" s="80">
        <f t="shared" si="6"/>
        <v>291249.26</v>
      </c>
      <c r="I76" s="80">
        <f t="shared" si="6"/>
        <v>1051916.8</v>
      </c>
      <c r="J76" s="80"/>
      <c r="K76" s="80">
        <f>SUM(K77:K83)</f>
        <v>95745.73</v>
      </c>
      <c r="L76" s="234">
        <f t="shared" si="0"/>
        <v>99.05843409175661</v>
      </c>
      <c r="M76" s="104"/>
    </row>
    <row r="77" spans="1:13" ht="24" customHeight="1">
      <c r="A77" s="765"/>
      <c r="B77" s="470">
        <v>85406</v>
      </c>
      <c r="C77" s="72" t="s">
        <v>106</v>
      </c>
      <c r="D77" s="496">
        <v>755087</v>
      </c>
      <c r="E77" s="70">
        <v>754818.87</v>
      </c>
      <c r="F77" s="70">
        <f>E77</f>
        <v>754818.87</v>
      </c>
      <c r="G77" s="70">
        <f>515407+34015.3+8001.5</f>
        <v>557423.80000000005</v>
      </c>
      <c r="H77" s="70">
        <f>79366+12464</f>
        <v>91830</v>
      </c>
      <c r="I77" s="70"/>
      <c r="J77" s="70"/>
      <c r="K77" s="159"/>
      <c r="L77" s="235">
        <f t="shared" si="0"/>
        <v>99.964490184574757</v>
      </c>
      <c r="M77" s="104"/>
    </row>
    <row r="78" spans="1:13" ht="13.5" customHeight="1">
      <c r="A78" s="765"/>
      <c r="B78" s="470">
        <v>85407</v>
      </c>
      <c r="C78" s="72" t="s">
        <v>107</v>
      </c>
      <c r="D78" s="497">
        <v>570746</v>
      </c>
      <c r="E78" s="130">
        <v>570745.73</v>
      </c>
      <c r="F78" s="70">
        <f>E78-K78</f>
        <v>475000</v>
      </c>
      <c r="G78" s="130">
        <f>218240.93+13380.76+70510.48</f>
        <v>302132.17</v>
      </c>
      <c r="H78" s="130">
        <f>35605+4857.62</f>
        <v>40462.620000000003</v>
      </c>
      <c r="I78" s="130"/>
      <c r="J78" s="130"/>
      <c r="K78" s="159">
        <v>95745.73</v>
      </c>
      <c r="L78" s="235">
        <f t="shared" si="0"/>
        <v>99.999952693492375</v>
      </c>
      <c r="M78" s="104"/>
    </row>
    <row r="79" spans="1:13">
      <c r="A79" s="765"/>
      <c r="B79" s="470">
        <v>85410</v>
      </c>
      <c r="C79" s="72" t="s">
        <v>108</v>
      </c>
      <c r="D79" s="496">
        <v>466857</v>
      </c>
      <c r="E79" s="70">
        <v>466855.77</v>
      </c>
      <c r="F79" s="70">
        <f>E79</f>
        <v>466855.77</v>
      </c>
      <c r="G79" s="70">
        <f>48873+5160.56+16627.06+149530+13173</f>
        <v>233363.62</v>
      </c>
      <c r="H79" s="70">
        <f>9440+1427+25961+4217</f>
        <v>41045</v>
      </c>
      <c r="I79" s="70"/>
      <c r="J79" s="70"/>
      <c r="K79" s="159"/>
      <c r="L79" s="235">
        <f t="shared" si="0"/>
        <v>99.9997365360271</v>
      </c>
      <c r="M79" s="104"/>
    </row>
    <row r="80" spans="1:13">
      <c r="A80" s="765"/>
      <c r="B80" s="470">
        <v>85415</v>
      </c>
      <c r="C80" s="72" t="s">
        <v>109</v>
      </c>
      <c r="D80" s="496">
        <v>319000</v>
      </c>
      <c r="E80" s="70">
        <v>316700</v>
      </c>
      <c r="F80" s="70">
        <f>E80</f>
        <v>316700</v>
      </c>
      <c r="G80" s="70"/>
      <c r="H80" s="70"/>
      <c r="I80" s="70"/>
      <c r="J80" s="70"/>
      <c r="K80" s="159"/>
      <c r="L80" s="235">
        <f t="shared" ref="L80:L91" si="7">E80/D80*100</f>
        <v>99.278996865203766</v>
      </c>
      <c r="M80" s="104"/>
    </row>
    <row r="81" spans="1:13" ht="13.5" customHeight="1">
      <c r="A81" s="765"/>
      <c r="B81" s="470">
        <v>85419</v>
      </c>
      <c r="C81" s="77" t="s">
        <v>340</v>
      </c>
      <c r="D81" s="496">
        <v>1090418</v>
      </c>
      <c r="E81" s="70">
        <v>1051916.8</v>
      </c>
      <c r="F81" s="70">
        <f>E81</f>
        <v>1051916.8</v>
      </c>
      <c r="G81" s="70"/>
      <c r="H81" s="70"/>
      <c r="I81" s="70">
        <f>F81</f>
        <v>1051916.8</v>
      </c>
      <c r="J81" s="70"/>
      <c r="K81" s="159"/>
      <c r="L81" s="235">
        <f t="shared" si="7"/>
        <v>96.469133855090433</v>
      </c>
      <c r="M81" s="104"/>
    </row>
    <row r="82" spans="1:13" ht="14.25" customHeight="1">
      <c r="A82" s="765"/>
      <c r="B82" s="470">
        <v>85420</v>
      </c>
      <c r="C82" s="72" t="s">
        <v>110</v>
      </c>
      <c r="D82" s="497">
        <v>1215288</v>
      </c>
      <c r="E82" s="130">
        <v>1215282.9099999999</v>
      </c>
      <c r="F82" s="70">
        <f>E82</f>
        <v>1215282.9099999999</v>
      </c>
      <c r="G82" s="130">
        <f>656191+48038.03</f>
        <v>704229.03</v>
      </c>
      <c r="H82" s="130">
        <f>100213.6+17698.04</f>
        <v>117911.64000000001</v>
      </c>
      <c r="I82" s="130"/>
      <c r="J82" s="130"/>
      <c r="K82" s="159"/>
      <c r="L82" s="235">
        <f t="shared" si="7"/>
        <v>99.999581169237246</v>
      </c>
      <c r="M82" s="104"/>
    </row>
    <row r="83" spans="1:13">
      <c r="A83" s="765"/>
      <c r="B83" s="470">
        <v>85446</v>
      </c>
      <c r="C83" s="471" t="s">
        <v>141</v>
      </c>
      <c r="D83" s="496">
        <v>12672</v>
      </c>
      <c r="E83" s="70">
        <v>12035.91</v>
      </c>
      <c r="F83" s="70">
        <f>E83</f>
        <v>12035.91</v>
      </c>
      <c r="G83" s="70"/>
      <c r="H83" s="70"/>
      <c r="I83" s="70"/>
      <c r="J83" s="70"/>
      <c r="K83" s="159"/>
      <c r="L83" s="235">
        <f t="shared" si="7"/>
        <v>94.980350378787875</v>
      </c>
      <c r="M83" s="104"/>
    </row>
    <row r="84" spans="1:13" s="3" customFormat="1" ht="24">
      <c r="A84" s="236">
        <v>921</v>
      </c>
      <c r="B84" s="236"/>
      <c r="C84" s="112" t="s">
        <v>143</v>
      </c>
      <c r="D84" s="278">
        <f>SUM(D85:D87)</f>
        <v>155770</v>
      </c>
      <c r="E84" s="80">
        <f t="shared" ref="E84:K84" si="8">SUM(E85:E87)</f>
        <v>124001.25</v>
      </c>
      <c r="F84" s="80">
        <f t="shared" si="8"/>
        <v>103231.25</v>
      </c>
      <c r="G84" s="80">
        <f t="shared" si="8"/>
        <v>0</v>
      </c>
      <c r="H84" s="502">
        <f t="shared" si="8"/>
        <v>0</v>
      </c>
      <c r="I84" s="80">
        <f t="shared" si="8"/>
        <v>94000</v>
      </c>
      <c r="J84" s="502">
        <f t="shared" si="8"/>
        <v>0</v>
      </c>
      <c r="K84" s="503">
        <f t="shared" si="8"/>
        <v>20770</v>
      </c>
      <c r="L84" s="234">
        <f t="shared" si="7"/>
        <v>79.605347627912948</v>
      </c>
      <c r="M84" s="104"/>
    </row>
    <row r="85" spans="1:13">
      <c r="A85" s="797"/>
      <c r="B85" s="470">
        <v>92105</v>
      </c>
      <c r="C85" s="72" t="s">
        <v>144</v>
      </c>
      <c r="D85" s="496">
        <v>31000</v>
      </c>
      <c r="E85" s="70">
        <v>29231.25</v>
      </c>
      <c r="F85" s="70">
        <f>E85</f>
        <v>29231.25</v>
      </c>
      <c r="G85" s="70"/>
      <c r="H85" s="70"/>
      <c r="I85" s="159">
        <v>20000</v>
      </c>
      <c r="J85" s="502"/>
      <c r="K85" s="70"/>
      <c r="L85" s="235">
        <f t="shared" si="7"/>
        <v>94.29435483870968</v>
      </c>
      <c r="M85" s="104"/>
    </row>
    <row r="86" spans="1:13">
      <c r="A86" s="800"/>
      <c r="B86" s="470">
        <v>92116</v>
      </c>
      <c r="C86" s="72" t="s">
        <v>413</v>
      </c>
      <c r="D86" s="496">
        <v>74770</v>
      </c>
      <c r="E86" s="70">
        <v>74770</v>
      </c>
      <c r="F86" s="70">
        <f>E86-K86</f>
        <v>54000</v>
      </c>
      <c r="G86" s="70"/>
      <c r="H86" s="70"/>
      <c r="I86" s="159">
        <f>F86</f>
        <v>54000</v>
      </c>
      <c r="J86" s="502"/>
      <c r="K86" s="70">
        <v>20770</v>
      </c>
      <c r="L86" s="235">
        <f t="shared" si="7"/>
        <v>100</v>
      </c>
      <c r="M86" s="104"/>
    </row>
    <row r="87" spans="1:13">
      <c r="A87" s="798"/>
      <c r="B87" s="470">
        <v>92195</v>
      </c>
      <c r="C87" s="72" t="s">
        <v>88</v>
      </c>
      <c r="D87" s="496">
        <v>50000</v>
      </c>
      <c r="E87" s="70">
        <v>20000</v>
      </c>
      <c r="F87" s="70">
        <f>E87</f>
        <v>20000</v>
      </c>
      <c r="G87" s="70"/>
      <c r="H87" s="70"/>
      <c r="I87" s="159">
        <v>20000</v>
      </c>
      <c r="J87" s="502"/>
      <c r="K87" s="70"/>
      <c r="L87" s="235">
        <f t="shared" si="7"/>
        <v>40</v>
      </c>
      <c r="M87" s="104"/>
    </row>
    <row r="88" spans="1:13" s="3" customFormat="1">
      <c r="A88" s="236">
        <v>926</v>
      </c>
      <c r="B88" s="236"/>
      <c r="C88" s="112" t="s">
        <v>145</v>
      </c>
      <c r="D88" s="278">
        <f>D90+D89+D91</f>
        <v>1614564</v>
      </c>
      <c r="E88" s="80">
        <f t="shared" ref="E88:K88" si="9">E90+E89+E91</f>
        <v>938221.89000000013</v>
      </c>
      <c r="F88" s="80">
        <f t="shared" si="9"/>
        <v>113729.60000000001</v>
      </c>
      <c r="G88" s="502">
        <f t="shared" si="9"/>
        <v>0</v>
      </c>
      <c r="H88" s="502">
        <f t="shared" si="9"/>
        <v>0</v>
      </c>
      <c r="I88" s="80">
        <f t="shared" si="9"/>
        <v>81500</v>
      </c>
      <c r="J88" s="502">
        <f t="shared" si="9"/>
        <v>0</v>
      </c>
      <c r="K88" s="80">
        <f t="shared" si="9"/>
        <v>824492.29</v>
      </c>
      <c r="L88" s="234">
        <f t="shared" si="7"/>
        <v>58.109922554943637</v>
      </c>
      <c r="M88" s="104"/>
    </row>
    <row r="89" spans="1:13" s="4" customFormat="1">
      <c r="A89" s="797"/>
      <c r="B89" s="470">
        <v>92601</v>
      </c>
      <c r="C89" s="72" t="s">
        <v>341</v>
      </c>
      <c r="D89" s="496">
        <v>1497564</v>
      </c>
      <c r="E89" s="70">
        <v>824492.29</v>
      </c>
      <c r="F89" s="70"/>
      <c r="G89" s="70"/>
      <c r="H89" s="70"/>
      <c r="I89" s="70"/>
      <c r="J89" s="70"/>
      <c r="K89" s="70">
        <f>E89</f>
        <v>824492.29</v>
      </c>
      <c r="L89" s="235">
        <f t="shared" si="7"/>
        <v>55.055562900817598</v>
      </c>
      <c r="M89" s="105"/>
    </row>
    <row r="90" spans="1:13" ht="24">
      <c r="A90" s="800"/>
      <c r="B90" s="470">
        <v>92605</v>
      </c>
      <c r="C90" s="72" t="s">
        <v>146</v>
      </c>
      <c r="D90" s="496">
        <v>64801</v>
      </c>
      <c r="E90" s="70">
        <v>61530.66</v>
      </c>
      <c r="F90" s="70">
        <f>E90</f>
        <v>61530.66</v>
      </c>
      <c r="G90" s="70"/>
      <c r="H90" s="70"/>
      <c r="I90" s="70">
        <f>6500+45000</f>
        <v>51500</v>
      </c>
      <c r="J90" s="70"/>
      <c r="K90" s="70"/>
      <c r="L90" s="235">
        <f t="shared" si="7"/>
        <v>94.953256894183738</v>
      </c>
      <c r="M90" s="104"/>
    </row>
    <row r="91" spans="1:13">
      <c r="A91" s="798"/>
      <c r="B91" s="470">
        <v>92695</v>
      </c>
      <c r="C91" s="72" t="s">
        <v>88</v>
      </c>
      <c r="D91" s="496">
        <v>52199</v>
      </c>
      <c r="E91" s="70">
        <v>52198.94</v>
      </c>
      <c r="F91" s="70">
        <f>E91</f>
        <v>52198.94</v>
      </c>
      <c r="G91" s="70"/>
      <c r="H91" s="70"/>
      <c r="I91" s="70">
        <v>30000</v>
      </c>
      <c r="J91" s="70"/>
      <c r="K91" s="70"/>
      <c r="L91" s="235">
        <f t="shared" si="7"/>
        <v>99.99988505526926</v>
      </c>
      <c r="M91" s="104"/>
    </row>
    <row r="92" spans="1:13" s="3" customFormat="1">
      <c r="A92" s="796" t="s">
        <v>111</v>
      </c>
      <c r="B92" s="796"/>
      <c r="C92" s="796"/>
      <c r="D92" s="278">
        <f t="shared" ref="D92:K92" si="10">D11+D15+D21+D24+D27+D31+D38+D44+D46+D57+D61+D70+D76+D88+D84+D19</f>
        <v>53242098.479999997</v>
      </c>
      <c r="E92" s="80">
        <f t="shared" si="10"/>
        <v>52006215.719999999</v>
      </c>
      <c r="F92" s="80">
        <f t="shared" si="10"/>
        <v>44815236.799999997</v>
      </c>
      <c r="G92" s="80">
        <f t="shared" si="10"/>
        <v>19049405.510000002</v>
      </c>
      <c r="H92" s="80">
        <f t="shared" si="10"/>
        <v>2807535.3200000003</v>
      </c>
      <c r="I92" s="80">
        <f>I11+I15+I21+I24+I27+I31+I38+I44+I46+I57+I61+I70+I76+I88+I84+I19</f>
        <v>7341189.1499999994</v>
      </c>
      <c r="J92" s="80">
        <f t="shared" si="10"/>
        <v>371604.72</v>
      </c>
      <c r="K92" s="80">
        <f t="shared" si="10"/>
        <v>7190978.9200000009</v>
      </c>
      <c r="L92" s="234">
        <f>E92/D92*100</f>
        <v>97.678748968799098</v>
      </c>
      <c r="M92" s="104"/>
    </row>
    <row r="93" spans="1:13">
      <c r="A93" s="20"/>
      <c r="B93" s="20"/>
      <c r="C93" s="20"/>
      <c r="D93" s="498"/>
      <c r="F93" s="21"/>
      <c r="G93" s="21"/>
      <c r="H93" s="21"/>
      <c r="I93" s="21"/>
      <c r="J93" s="21"/>
      <c r="K93" s="21"/>
    </row>
    <row r="94" spans="1:13">
      <c r="A94" s="20"/>
      <c r="B94" s="20"/>
      <c r="C94" s="20"/>
      <c r="D94" s="498"/>
      <c r="F94" s="21"/>
      <c r="G94" s="21"/>
      <c r="H94" s="21"/>
      <c r="I94" s="21"/>
      <c r="J94" s="500"/>
      <c r="K94" s="21"/>
    </row>
  </sheetData>
  <mergeCells count="29">
    <mergeCell ref="L6:L9"/>
    <mergeCell ref="A39:A43"/>
    <mergeCell ref="J1:L1"/>
    <mergeCell ref="A2:L2"/>
    <mergeCell ref="A3:L3"/>
    <mergeCell ref="A4:L4"/>
    <mergeCell ref="A6:A9"/>
    <mergeCell ref="B6:B9"/>
    <mergeCell ref="C6:C9"/>
    <mergeCell ref="D6:D9"/>
    <mergeCell ref="F6:K6"/>
    <mergeCell ref="F7:J7"/>
    <mergeCell ref="K7:K9"/>
    <mergeCell ref="F8:F9"/>
    <mergeCell ref="A28:A30"/>
    <mergeCell ref="A12:A14"/>
    <mergeCell ref="A85:A87"/>
    <mergeCell ref="A89:A91"/>
    <mergeCell ref="A92:C92"/>
    <mergeCell ref="E6:E9"/>
    <mergeCell ref="A32:A37"/>
    <mergeCell ref="A47:A56"/>
    <mergeCell ref="A77:A83"/>
    <mergeCell ref="A71:A75"/>
    <mergeCell ref="A58:A60"/>
    <mergeCell ref="A22:A23"/>
    <mergeCell ref="A25:A26"/>
    <mergeCell ref="A16:A18"/>
    <mergeCell ref="A62:A69"/>
  </mergeCells>
  <pageMargins left="0.7" right="0.7" top="0.75" bottom="0.75" header="0.3" footer="0.3"/>
  <pageSetup paperSize="9" firstPageNumber="34" orientation="landscape" useFirstPageNumber="1" horizontalDpi="1200" verticalDpi="1200" r:id="rId1"/>
  <headerFooter alignWithMargins="0">
    <oddFooter>&amp;CZałącznik Nr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28</vt:i4>
      </vt:variant>
      <vt:variant>
        <vt:lpstr>Zakresy nazwane</vt:lpstr>
      </vt:variant>
      <vt:variant>
        <vt:i4>2</vt:i4>
      </vt:variant>
    </vt:vector>
  </HeadingPairs>
  <TitlesOfParts>
    <vt:vector size="30" baseType="lpstr">
      <vt:lpstr>wyk1</vt:lpstr>
      <vt:lpstr>zał 1</vt:lpstr>
      <vt:lpstr>wyk2</vt:lpstr>
      <vt:lpstr>zał 2</vt:lpstr>
      <vt:lpstr>zał 3</vt:lpstr>
      <vt:lpstr>zał 4</vt:lpstr>
      <vt:lpstr>zał 5</vt:lpstr>
      <vt:lpstr>wyk3</vt:lpstr>
      <vt:lpstr>zał 6</vt:lpstr>
      <vt:lpstr>wyk4</vt:lpstr>
      <vt:lpstr>zał7</vt:lpstr>
      <vt:lpstr>zał8-9</vt:lpstr>
      <vt:lpstr>zał 10</vt:lpstr>
      <vt:lpstr>zał11-12</vt:lpstr>
      <vt:lpstr>zał13</vt:lpstr>
      <vt:lpstr>zał14</vt:lpstr>
      <vt:lpstr>zał 15</vt:lpstr>
      <vt:lpstr>zał16</vt:lpstr>
      <vt:lpstr>zał  17</vt:lpstr>
      <vt:lpstr>zał18</vt:lpstr>
      <vt:lpstr>zał 19</vt:lpstr>
      <vt:lpstr>zał20</vt:lpstr>
      <vt:lpstr>zał21</vt:lpstr>
      <vt:lpstr>zał 22</vt:lpstr>
      <vt:lpstr>zał 23</vt:lpstr>
      <vt:lpstr>anul</vt:lpstr>
      <vt:lpstr>ZAŁ 25</vt:lpstr>
      <vt:lpstr>Arkusz1</vt:lpstr>
      <vt:lpstr>'wyk1'!Obszar_wydruku</vt:lpstr>
      <vt:lpstr>zał21!Obszar_wydruku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Starostwo Powiatowe w Białogardzie</cp:lastModifiedBy>
  <cp:lastPrinted>2010-03-17T13:55:12Z</cp:lastPrinted>
  <dcterms:created xsi:type="dcterms:W3CDTF">2008-03-10T13:41:31Z</dcterms:created>
  <dcterms:modified xsi:type="dcterms:W3CDTF">2010-03-17T14:07:25Z</dcterms:modified>
</cp:coreProperties>
</file>