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9615" yWindow="0" windowWidth="9195" windowHeight="10980" tabRatio="860" firstSheet="3" activeTab="17"/>
  </bookViews>
  <sheets>
    <sheet name="tab1" sheetId="33" r:id="rId1"/>
    <sheet name="wykres dochodów" sheetId="27" r:id="rId2"/>
    <sheet name="tab2" sheetId="8" r:id="rId3"/>
    <sheet name="tab3" sheetId="5" r:id="rId4"/>
    <sheet name="wykres wydatków" sheetId="22" r:id="rId5"/>
    <sheet name="tab11" sheetId="40" r:id="rId6"/>
    <sheet name="tab12" sheetId="38" r:id="rId7"/>
    <sheet name="tab4" sheetId="31" r:id="rId8"/>
    <sheet name="tab 5i6" sheetId="30" r:id="rId9"/>
    <sheet name="tab 7i8" sheetId="36" r:id="rId10"/>
    <sheet name="tab9" sheetId="42" r:id="rId11"/>
    <sheet name="tab10" sheetId="1" r:id="rId12"/>
    <sheet name="tab13" sheetId="43" r:id="rId13"/>
    <sheet name="tab14" sheetId="47" r:id="rId14"/>
    <sheet name="tab 15" sheetId="44" r:id="rId15"/>
    <sheet name="zał 1" sheetId="45" r:id="rId16"/>
    <sheet name="zał 2" sheetId="46" r:id="rId17"/>
    <sheet name="zał3" sheetId="48" r:id="rId18"/>
    <sheet name="Arkusz5" sheetId="39" r:id="rId19"/>
  </sheets>
  <externalReferences>
    <externalReference r:id="rId20"/>
  </externalReferences>
  <definedNames>
    <definedName name="_xlnm.Print_Area" localSheetId="1">'wykres dochodów'!$A$1:$J$86</definedName>
  </definedNames>
  <calcPr calcId="124519"/>
</workbook>
</file>

<file path=xl/calcChain.xml><?xml version="1.0" encoding="utf-8"?>
<calcChain xmlns="http://schemas.openxmlformats.org/spreadsheetml/2006/main">
  <c r="L15" i="48"/>
  <c r="L14"/>
  <c r="L13"/>
  <c r="L12"/>
  <c r="L11"/>
  <c r="L10"/>
  <c r="L9"/>
  <c r="L8"/>
  <c r="F36" i="33"/>
  <c r="I7" i="45"/>
  <c r="H19" i="46"/>
  <c r="J19"/>
  <c r="K19" s="1"/>
  <c r="H18"/>
  <c r="K18"/>
  <c r="K17"/>
  <c r="K16"/>
  <c r="K15"/>
  <c r="K14"/>
  <c r="K13"/>
  <c r="K12"/>
  <c r="K11"/>
  <c r="K10"/>
  <c r="G11" i="45" l="1"/>
  <c r="F13" i="44" l="1"/>
  <c r="E13"/>
  <c r="D13"/>
  <c r="H18" i="43"/>
  <c r="U26" i="44" l="1"/>
  <c r="T26"/>
  <c r="S26"/>
  <c r="R26"/>
  <c r="Q26"/>
  <c r="P26"/>
  <c r="O26"/>
  <c r="I26"/>
  <c r="H26"/>
  <c r="H27" s="1"/>
  <c r="C26"/>
  <c r="B26"/>
  <c r="L25"/>
  <c r="X25" s="1"/>
  <c r="W24"/>
  <c r="X24" s="1"/>
  <c r="L24"/>
  <c r="L23"/>
  <c r="X23" s="1"/>
  <c r="W22"/>
  <c r="L22"/>
  <c r="W21"/>
  <c r="L21"/>
  <c r="W20"/>
  <c r="L20"/>
  <c r="X20" s="1"/>
  <c r="F26"/>
  <c r="L19"/>
  <c r="X19" s="1"/>
  <c r="W18"/>
  <c r="D26"/>
  <c r="W17"/>
  <c r="L17"/>
  <c r="W16"/>
  <c r="L16"/>
  <c r="X16" s="1"/>
  <c r="W15"/>
  <c r="L15"/>
  <c r="X15" s="1"/>
  <c r="E26"/>
  <c r="V14"/>
  <c r="V27" s="1"/>
  <c r="U14"/>
  <c r="U27" s="1"/>
  <c r="T14"/>
  <c r="T27" s="1"/>
  <c r="S14"/>
  <c r="S27" s="1"/>
  <c r="R14"/>
  <c r="R27" s="1"/>
  <c r="Q14"/>
  <c r="Q27" s="1"/>
  <c r="P14"/>
  <c r="P27" s="1"/>
  <c r="O14"/>
  <c r="O27" s="1"/>
  <c r="K14"/>
  <c r="K27" s="1"/>
  <c r="J14"/>
  <c r="J27" s="1"/>
  <c r="I14"/>
  <c r="I27" s="1"/>
  <c r="G14"/>
  <c r="G27" s="1"/>
  <c r="F14"/>
  <c r="F27" s="1"/>
  <c r="E14"/>
  <c r="E27" s="1"/>
  <c r="B14"/>
  <c r="B27" s="1"/>
  <c r="W13"/>
  <c r="D14"/>
  <c r="C14"/>
  <c r="C27" s="1"/>
  <c r="W12"/>
  <c r="L12"/>
  <c r="W11"/>
  <c r="L11"/>
  <c r="W10"/>
  <c r="L10"/>
  <c r="W9"/>
  <c r="L9"/>
  <c r="W8"/>
  <c r="L8"/>
  <c r="W7"/>
  <c r="L7"/>
  <c r="W6"/>
  <c r="L6"/>
  <c r="W5"/>
  <c r="L5"/>
  <c r="K21" i="43"/>
  <c r="E20"/>
  <c r="I18"/>
  <c r="I21" s="1"/>
  <c r="G18"/>
  <c r="G21" s="1"/>
  <c r="E17"/>
  <c r="W14" i="44" l="1"/>
  <c r="W27" s="1"/>
  <c r="W26"/>
  <c r="X7"/>
  <c r="X9"/>
  <c r="X11"/>
  <c r="X17"/>
  <c r="X21"/>
  <c r="X6"/>
  <c r="X8"/>
  <c r="X10"/>
  <c r="X12"/>
  <c r="D27"/>
  <c r="X22"/>
  <c r="L18"/>
  <c r="X18" s="1"/>
  <c r="X26" s="1"/>
  <c r="X5"/>
  <c r="L13"/>
  <c r="X13" s="1"/>
  <c r="D16" i="43"/>
  <c r="D18"/>
  <c r="F17"/>
  <c r="E16"/>
  <c r="F20"/>
  <c r="J20"/>
  <c r="J18" s="1"/>
  <c r="J21" s="1"/>
  <c r="E19"/>
  <c r="C42" i="39"/>
  <c r="D42"/>
  <c r="E41"/>
  <c r="E40"/>
  <c r="E39"/>
  <c r="E38"/>
  <c r="E37"/>
  <c r="E22"/>
  <c r="G25" i="1"/>
  <c r="E8" i="40"/>
  <c r="D8"/>
  <c r="E17"/>
  <c r="D17"/>
  <c r="L11" i="1"/>
  <c r="L13"/>
  <c r="L15"/>
  <c r="L19"/>
  <c r="L22"/>
  <c r="L24"/>
  <c r="L27"/>
  <c r="L29"/>
  <c r="L32"/>
  <c r="L35"/>
  <c r="I11"/>
  <c r="I13"/>
  <c r="I15"/>
  <c r="I19"/>
  <c r="I22"/>
  <c r="I24"/>
  <c r="I27"/>
  <c r="I29"/>
  <c r="I32"/>
  <c r="I35"/>
  <c r="G33"/>
  <c r="G31"/>
  <c r="G30"/>
  <c r="M24"/>
  <c r="K24"/>
  <c r="J24"/>
  <c r="E24"/>
  <c r="D24"/>
  <c r="F26"/>
  <c r="N26"/>
  <c r="G24"/>
  <c r="F25"/>
  <c r="N23"/>
  <c r="N22" s="1"/>
  <c r="M22"/>
  <c r="K22"/>
  <c r="J22"/>
  <c r="E22"/>
  <c r="D22"/>
  <c r="G23"/>
  <c r="G22" s="1"/>
  <c r="F23"/>
  <c r="H23" s="1"/>
  <c r="H22" s="1"/>
  <c r="G18"/>
  <c r="H17"/>
  <c r="F17"/>
  <c r="F16"/>
  <c r="H16" s="1"/>
  <c r="G11"/>
  <c r="H11" i="42"/>
  <c r="G11"/>
  <c r="I9"/>
  <c r="G33" i="30"/>
  <c r="F33"/>
  <c r="H29"/>
  <c r="E80" i="22"/>
  <c r="D80"/>
  <c r="F85" i="5"/>
  <c r="H93"/>
  <c r="G92"/>
  <c r="F92"/>
  <c r="H92" s="1"/>
  <c r="G85"/>
  <c r="G82"/>
  <c r="G81"/>
  <c r="G80"/>
  <c r="G78"/>
  <c r="H78" s="1"/>
  <c r="G76"/>
  <c r="M76"/>
  <c r="G75"/>
  <c r="I74"/>
  <c r="F72"/>
  <c r="G70"/>
  <c r="G69"/>
  <c r="G68"/>
  <c r="G66"/>
  <c r="G64"/>
  <c r="J64"/>
  <c r="I64"/>
  <c r="M60"/>
  <c r="F58"/>
  <c r="G57"/>
  <c r="G54"/>
  <c r="M53"/>
  <c r="G53"/>
  <c r="J53"/>
  <c r="G51"/>
  <c r="M51"/>
  <c r="M50"/>
  <c r="G50"/>
  <c r="G49"/>
  <c r="L39"/>
  <c r="K39"/>
  <c r="J39"/>
  <c r="I39"/>
  <c r="E39"/>
  <c r="D39"/>
  <c r="N45"/>
  <c r="M44"/>
  <c r="M39" s="1"/>
  <c r="G42"/>
  <c r="G39" s="1"/>
  <c r="F42"/>
  <c r="F40"/>
  <c r="N38"/>
  <c r="M37"/>
  <c r="L37"/>
  <c r="K37"/>
  <c r="J37"/>
  <c r="I37"/>
  <c r="E37"/>
  <c r="N37" s="1"/>
  <c r="D37"/>
  <c r="G38"/>
  <c r="G37" s="1"/>
  <c r="F38"/>
  <c r="F37" s="1"/>
  <c r="G33"/>
  <c r="M33"/>
  <c r="G29"/>
  <c r="G22"/>
  <c r="M22"/>
  <c r="H50" i="8"/>
  <c r="E49"/>
  <c r="F49"/>
  <c r="H49" s="1"/>
  <c r="H48"/>
  <c r="H43"/>
  <c r="H39"/>
  <c r="G38"/>
  <c r="F38"/>
  <c r="H38" s="1"/>
  <c r="E38"/>
  <c r="G37"/>
  <c r="E37"/>
  <c r="F27"/>
  <c r="E27"/>
  <c r="G65" i="33"/>
  <c r="F65"/>
  <c r="G208"/>
  <c r="G207" s="1"/>
  <c r="F208"/>
  <c r="F207" s="1"/>
  <c r="G195"/>
  <c r="F195"/>
  <c r="E195"/>
  <c r="G185"/>
  <c r="F185"/>
  <c r="E185"/>
  <c r="H166"/>
  <c r="H141"/>
  <c r="H140"/>
  <c r="H139"/>
  <c r="H138"/>
  <c r="G130"/>
  <c r="H129"/>
  <c r="G128"/>
  <c r="E128"/>
  <c r="F128"/>
  <c r="H128" s="1"/>
  <c r="G108"/>
  <c r="F102"/>
  <c r="F98"/>
  <c r="H83"/>
  <c r="G82"/>
  <c r="E82"/>
  <c r="F82"/>
  <c r="G79"/>
  <c r="F79"/>
  <c r="E79"/>
  <c r="H80"/>
  <c r="H73"/>
  <c r="G68"/>
  <c r="G67" s="1"/>
  <c r="F68"/>
  <c r="F67" s="1"/>
  <c r="E68"/>
  <c r="E67" s="1"/>
  <c r="H69"/>
  <c r="F61"/>
  <c r="E61"/>
  <c r="H59"/>
  <c r="G53"/>
  <c r="G50" s="1"/>
  <c r="F53"/>
  <c r="E53"/>
  <c r="G45"/>
  <c r="F45"/>
  <c r="E45"/>
  <c r="G23"/>
  <c r="G22" s="1"/>
  <c r="F23"/>
  <c r="H21"/>
  <c r="F20"/>
  <c r="E20"/>
  <c r="H20" s="1"/>
  <c r="G25" i="36"/>
  <c r="H24"/>
  <c r="H10"/>
  <c r="H9"/>
  <c r="G12"/>
  <c r="G13" s="1"/>
  <c r="I11" i="42"/>
  <c r="I10"/>
  <c r="F25" i="36"/>
  <c r="F12"/>
  <c r="F11"/>
  <c r="H32" i="30"/>
  <c r="H31"/>
  <c r="H30"/>
  <c r="H17"/>
  <c r="H16"/>
  <c r="H15"/>
  <c r="H14"/>
  <c r="H13"/>
  <c r="H12"/>
  <c r="H11"/>
  <c r="H10"/>
  <c r="H9"/>
  <c r="G18"/>
  <c r="G26" i="31"/>
  <c r="H26" s="1"/>
  <c r="F26"/>
  <c r="H21"/>
  <c r="F18" i="30"/>
  <c r="H25" i="31"/>
  <c r="H24"/>
  <c r="H22"/>
  <c r="H23"/>
  <c r="H20"/>
  <c r="H19"/>
  <c r="H18"/>
  <c r="H17"/>
  <c r="H16"/>
  <c r="H15"/>
  <c r="H14"/>
  <c r="H13"/>
  <c r="H12"/>
  <c r="H11"/>
  <c r="F13" i="36" l="1"/>
  <c r="F37" i="8"/>
  <c r="H37" s="1"/>
  <c r="L26" i="44"/>
  <c r="D21" i="43"/>
  <c r="L14" i="44"/>
  <c r="E18" i="43"/>
  <c r="F19"/>
  <c r="F18" s="1"/>
  <c r="H17"/>
  <c r="H16" s="1"/>
  <c r="H21" s="1"/>
  <c r="F16"/>
  <c r="F21" s="1"/>
  <c r="E21"/>
  <c r="F22" i="1"/>
  <c r="F24"/>
  <c r="H26"/>
  <c r="H25" i="36"/>
  <c r="H33" i="30"/>
  <c r="H38" i="5"/>
  <c r="H37" s="1"/>
  <c r="H82" i="33"/>
  <c r="H67"/>
  <c r="H68"/>
  <c r="H12" i="36"/>
  <c r="H13"/>
  <c r="H11"/>
  <c r="H18" i="30"/>
  <c r="N34" i="1"/>
  <c r="N33"/>
  <c r="N31"/>
  <c r="N30"/>
  <c r="N28"/>
  <c r="N25"/>
  <c r="N21"/>
  <c r="N20"/>
  <c r="N18"/>
  <c r="N17"/>
  <c r="N16"/>
  <c r="N14"/>
  <c r="N12"/>
  <c r="M32"/>
  <c r="K32"/>
  <c r="E32"/>
  <c r="M29"/>
  <c r="K29"/>
  <c r="J29"/>
  <c r="E29"/>
  <c r="M27"/>
  <c r="K27"/>
  <c r="J27"/>
  <c r="G27"/>
  <c r="E27"/>
  <c r="M19"/>
  <c r="K19"/>
  <c r="J19"/>
  <c r="E19"/>
  <c r="M15"/>
  <c r="K15"/>
  <c r="J15"/>
  <c r="E15"/>
  <c r="D15"/>
  <c r="M13"/>
  <c r="K13"/>
  <c r="J13"/>
  <c r="G13"/>
  <c r="E13"/>
  <c r="M11"/>
  <c r="K11"/>
  <c r="J11"/>
  <c r="E11"/>
  <c r="F34"/>
  <c r="J34" s="1"/>
  <c r="J32" s="1"/>
  <c r="G32"/>
  <c r="F33"/>
  <c r="F31"/>
  <c r="G29"/>
  <c r="F30"/>
  <c r="H30" s="1"/>
  <c r="F28"/>
  <c r="H28" s="1"/>
  <c r="H27" s="1"/>
  <c r="H25"/>
  <c r="H24" s="1"/>
  <c r="G21"/>
  <c r="F21"/>
  <c r="F20"/>
  <c r="G20" s="1"/>
  <c r="G19" s="1"/>
  <c r="G15"/>
  <c r="F18"/>
  <c r="F12"/>
  <c r="G41" i="8"/>
  <c r="H47"/>
  <c r="H61"/>
  <c r="E60"/>
  <c r="F60"/>
  <c r="F41"/>
  <c r="F40" s="1"/>
  <c r="E41"/>
  <c r="E40" s="1"/>
  <c r="E33"/>
  <c r="F33"/>
  <c r="E13" i="38"/>
  <c r="D13"/>
  <c r="N94" i="5"/>
  <c r="N93"/>
  <c r="N92"/>
  <c r="N90"/>
  <c r="N89"/>
  <c r="N88"/>
  <c r="N86"/>
  <c r="N85"/>
  <c r="N84"/>
  <c r="N83"/>
  <c r="N82"/>
  <c r="N81"/>
  <c r="N80"/>
  <c r="N78"/>
  <c r="N77"/>
  <c r="N76"/>
  <c r="N75"/>
  <c r="N74"/>
  <c r="N72"/>
  <c r="N71"/>
  <c r="N70"/>
  <c r="N69"/>
  <c r="N68"/>
  <c r="N67"/>
  <c r="N66"/>
  <c r="N65"/>
  <c r="N64"/>
  <c r="N62"/>
  <c r="N61"/>
  <c r="N60"/>
  <c r="N58"/>
  <c r="N57"/>
  <c r="N56"/>
  <c r="N55"/>
  <c r="N54"/>
  <c r="N53"/>
  <c r="N52"/>
  <c r="N51"/>
  <c r="N50"/>
  <c r="N49"/>
  <c r="N47"/>
  <c r="N44"/>
  <c r="N43"/>
  <c r="N42"/>
  <c r="N41"/>
  <c r="N39"/>
  <c r="N36"/>
  <c r="N35"/>
  <c r="N34"/>
  <c r="N33"/>
  <c r="N32"/>
  <c r="N31"/>
  <c r="N29"/>
  <c r="N28"/>
  <c r="N27"/>
  <c r="N25"/>
  <c r="N23"/>
  <c r="N22"/>
  <c r="N21"/>
  <c r="N19"/>
  <c r="N17"/>
  <c r="N16"/>
  <c r="N14"/>
  <c r="N13"/>
  <c r="M30"/>
  <c r="L30"/>
  <c r="K30"/>
  <c r="J30"/>
  <c r="I30"/>
  <c r="E30"/>
  <c r="L91"/>
  <c r="K91"/>
  <c r="J91"/>
  <c r="H91"/>
  <c r="G91"/>
  <c r="E91"/>
  <c r="M87"/>
  <c r="L87"/>
  <c r="K87"/>
  <c r="J87"/>
  <c r="G87"/>
  <c r="E87"/>
  <c r="M79"/>
  <c r="L79"/>
  <c r="K79"/>
  <c r="J79"/>
  <c r="E79"/>
  <c r="D79"/>
  <c r="F86"/>
  <c r="H86" s="1"/>
  <c r="F82"/>
  <c r="H82" s="1"/>
  <c r="F81"/>
  <c r="H81" s="1"/>
  <c r="G79"/>
  <c r="L73"/>
  <c r="J73"/>
  <c r="E73"/>
  <c r="M73"/>
  <c r="G73"/>
  <c r="M63"/>
  <c r="L63"/>
  <c r="K63"/>
  <c r="E63"/>
  <c r="D63"/>
  <c r="F71"/>
  <c r="H71" s="1"/>
  <c r="F68"/>
  <c r="H68" s="1"/>
  <c r="F65"/>
  <c r="J63"/>
  <c r="I63"/>
  <c r="M59"/>
  <c r="L59"/>
  <c r="K59"/>
  <c r="J59"/>
  <c r="I59"/>
  <c r="G59"/>
  <c r="E59"/>
  <c r="D59"/>
  <c r="L48"/>
  <c r="K48"/>
  <c r="I48"/>
  <c r="E48"/>
  <c r="F56"/>
  <c r="H56" s="1"/>
  <c r="J48"/>
  <c r="F53"/>
  <c r="H53" s="1"/>
  <c r="M48"/>
  <c r="F44"/>
  <c r="H44" s="1"/>
  <c r="G34"/>
  <c r="M26"/>
  <c r="L26"/>
  <c r="K26"/>
  <c r="J26"/>
  <c r="I26"/>
  <c r="E26"/>
  <c r="D26"/>
  <c r="L24"/>
  <c r="K24"/>
  <c r="J24"/>
  <c r="I24"/>
  <c r="G24"/>
  <c r="E24"/>
  <c r="D24"/>
  <c r="L20"/>
  <c r="K20"/>
  <c r="I20"/>
  <c r="E20"/>
  <c r="D20"/>
  <c r="M15"/>
  <c r="L15"/>
  <c r="K15"/>
  <c r="I15"/>
  <c r="G15"/>
  <c r="E15"/>
  <c r="D15"/>
  <c r="M12"/>
  <c r="L12"/>
  <c r="K12"/>
  <c r="J12"/>
  <c r="I12"/>
  <c r="G12"/>
  <c r="E12"/>
  <c r="D12"/>
  <c r="F31"/>
  <c r="G31" s="1"/>
  <c r="G26"/>
  <c r="M25"/>
  <c r="M24" s="1"/>
  <c r="J20"/>
  <c r="G20"/>
  <c r="F22"/>
  <c r="F17"/>
  <c r="H17" s="1"/>
  <c r="H15" s="1"/>
  <c r="F16"/>
  <c r="J16" s="1"/>
  <c r="J15" s="1"/>
  <c r="F14"/>
  <c r="H14" s="1"/>
  <c r="F13"/>
  <c r="H13" s="1"/>
  <c r="H210" i="33"/>
  <c r="H209"/>
  <c r="H206"/>
  <c r="H205"/>
  <c r="H204"/>
  <c r="H201"/>
  <c r="H200"/>
  <c r="H199"/>
  <c r="H197"/>
  <c r="H196"/>
  <c r="H194"/>
  <c r="H193"/>
  <c r="H192"/>
  <c r="H191"/>
  <c r="H189"/>
  <c r="H188"/>
  <c r="H187"/>
  <c r="H182"/>
  <c r="H181"/>
  <c r="H177"/>
  <c r="H175"/>
  <c r="H174"/>
  <c r="H173"/>
  <c r="H170"/>
  <c r="H167"/>
  <c r="H164"/>
  <c r="H162"/>
  <c r="H161"/>
  <c r="H160"/>
  <c r="H158"/>
  <c r="H155"/>
  <c r="H150"/>
  <c r="H146"/>
  <c r="H144"/>
  <c r="H143"/>
  <c r="H142"/>
  <c r="H136"/>
  <c r="H135"/>
  <c r="H132"/>
  <c r="H127"/>
  <c r="H125"/>
  <c r="H124"/>
  <c r="H123"/>
  <c r="H119"/>
  <c r="H113"/>
  <c r="H109"/>
  <c r="H107"/>
  <c r="H106"/>
  <c r="H105"/>
  <c r="H102"/>
  <c r="H100"/>
  <c r="H98"/>
  <c r="H96"/>
  <c r="H93"/>
  <c r="H92"/>
  <c r="H89"/>
  <c r="H88"/>
  <c r="H87"/>
  <c r="H86"/>
  <c r="H81"/>
  <c r="H78"/>
  <c r="H77"/>
  <c r="H75"/>
  <c r="H66"/>
  <c r="H64"/>
  <c r="H62"/>
  <c r="H60"/>
  <c r="H56"/>
  <c r="H52"/>
  <c r="H48"/>
  <c r="H44"/>
  <c r="H42"/>
  <c r="H39"/>
  <c r="H38"/>
  <c r="H35"/>
  <c r="H34"/>
  <c r="H32"/>
  <c r="H27"/>
  <c r="H25"/>
  <c r="H19"/>
  <c r="H13"/>
  <c r="G71"/>
  <c r="G70" s="1"/>
  <c r="G110"/>
  <c r="G103" s="1"/>
  <c r="F71"/>
  <c r="F70" s="1"/>
  <c r="F198"/>
  <c r="F203"/>
  <c r="E178"/>
  <c r="F178"/>
  <c r="E165"/>
  <c r="F165"/>
  <c r="F157"/>
  <c r="F152"/>
  <c r="E152"/>
  <c r="F145"/>
  <c r="E145"/>
  <c r="F28"/>
  <c r="F22" s="1"/>
  <c r="F17"/>
  <c r="F16" s="1"/>
  <c r="E17"/>
  <c r="E16" s="1"/>
  <c r="E14"/>
  <c r="F14"/>
  <c r="E63"/>
  <c r="F85"/>
  <c r="E85"/>
  <c r="F104"/>
  <c r="E104"/>
  <c r="F110"/>
  <c r="F116"/>
  <c r="E122"/>
  <c r="E157"/>
  <c r="E203"/>
  <c r="E202" s="1"/>
  <c r="E208"/>
  <c r="E207" s="1"/>
  <c r="E198"/>
  <c r="F134"/>
  <c r="E134"/>
  <c r="H121"/>
  <c r="H120"/>
  <c r="H118"/>
  <c r="H117"/>
  <c r="H115"/>
  <c r="H114"/>
  <c r="H112"/>
  <c r="E111"/>
  <c r="H111" s="1"/>
  <c r="E108"/>
  <c r="H108" s="1"/>
  <c r="E95"/>
  <c r="E97"/>
  <c r="E71"/>
  <c r="E70" s="1"/>
  <c r="E65"/>
  <c r="E23"/>
  <c r="E22" s="1"/>
  <c r="G11"/>
  <c r="F14" i="1"/>
  <c r="F13" s="1"/>
  <c r="F34" i="38"/>
  <c r="F24"/>
  <c r="F23"/>
  <c r="E33"/>
  <c r="D33"/>
  <c r="G30" i="5" l="1"/>
  <c r="E35" i="1"/>
  <c r="G67" i="8"/>
  <c r="G40"/>
  <c r="L27" i="44"/>
  <c r="X14"/>
  <c r="X27" s="1"/>
  <c r="H21" i="1"/>
  <c r="H19" s="1"/>
  <c r="K35"/>
  <c r="J35"/>
  <c r="M35"/>
  <c r="G35"/>
  <c r="F11"/>
  <c r="H12"/>
  <c r="N15"/>
  <c r="N20" i="5"/>
  <c r="F39"/>
  <c r="N79"/>
  <c r="J95"/>
  <c r="N63"/>
  <c r="N59"/>
  <c r="H42"/>
  <c r="H39" s="1"/>
  <c r="N26"/>
  <c r="N24"/>
  <c r="N15"/>
  <c r="H60" i="8"/>
  <c r="H104" i="33"/>
  <c r="H145"/>
  <c r="H152"/>
  <c r="H165"/>
  <c r="H185"/>
  <c r="H65"/>
  <c r="H157"/>
  <c r="H208"/>
  <c r="H198"/>
  <c r="H203"/>
  <c r="H195"/>
  <c r="H71"/>
  <c r="H23"/>
  <c r="H31" i="1"/>
  <c r="H29" s="1"/>
  <c r="H33"/>
  <c r="H32" s="1"/>
  <c r="F19"/>
  <c r="F27"/>
  <c r="F32"/>
  <c r="H18"/>
  <c r="H15" s="1"/>
  <c r="F15"/>
  <c r="F29"/>
  <c r="H14"/>
  <c r="H13" s="1"/>
  <c r="F50" i="5"/>
  <c r="H50" s="1"/>
  <c r="H12"/>
  <c r="M20"/>
  <c r="H22"/>
  <c r="H20" s="1"/>
  <c r="F12"/>
  <c r="F15"/>
  <c r="F20"/>
  <c r="H178" i="33"/>
  <c r="H134"/>
  <c r="H85"/>
  <c r="F202"/>
  <c r="H202" s="1"/>
  <c r="H207"/>
  <c r="H17"/>
  <c r="H26"/>
  <c r="E110"/>
  <c r="H110" s="1"/>
  <c r="E116"/>
  <c r="H116" s="1"/>
  <c r="H22"/>
  <c r="F75" i="5"/>
  <c r="H75" s="1"/>
  <c r="F94"/>
  <c r="F93"/>
  <c r="F35" i="1" l="1"/>
  <c r="F91" i="5"/>
  <c r="I91"/>
  <c r="F89"/>
  <c r="F88"/>
  <c r="H88" s="1"/>
  <c r="H87" s="1"/>
  <c r="H85"/>
  <c r="F84"/>
  <c r="I84" s="1"/>
  <c r="I79" s="1"/>
  <c r="F83"/>
  <c r="F80"/>
  <c r="F78"/>
  <c r="K78" s="1"/>
  <c r="K73" s="1"/>
  <c r="K95" s="1"/>
  <c r="F77"/>
  <c r="F76"/>
  <c r="H76" s="1"/>
  <c r="F74"/>
  <c r="I73" s="1"/>
  <c r="F70"/>
  <c r="H70" s="1"/>
  <c r="F69"/>
  <c r="H69" s="1"/>
  <c r="F67"/>
  <c r="G67" s="1"/>
  <c r="G63" s="1"/>
  <c r="F66"/>
  <c r="H66" s="1"/>
  <c r="F64"/>
  <c r="F61"/>
  <c r="H61" s="1"/>
  <c r="D48"/>
  <c r="F57"/>
  <c r="H57" s="1"/>
  <c r="F55"/>
  <c r="F54"/>
  <c r="H54" s="1"/>
  <c r="F52"/>
  <c r="G52" s="1"/>
  <c r="G48" s="1"/>
  <c r="F51"/>
  <c r="H51" s="1"/>
  <c r="F49"/>
  <c r="F47"/>
  <c r="F36"/>
  <c r="H36" s="1"/>
  <c r="F35"/>
  <c r="H35" s="1"/>
  <c r="F34"/>
  <c r="H34" s="1"/>
  <c r="F33"/>
  <c r="H33" s="1"/>
  <c r="F32"/>
  <c r="H32" s="1"/>
  <c r="F29"/>
  <c r="F25"/>
  <c r="F24" s="1"/>
  <c r="F19"/>
  <c r="G19" s="1"/>
  <c r="E36" i="39"/>
  <c r="E35"/>
  <c r="E65" i="8"/>
  <c r="G171" i="33"/>
  <c r="G168" s="1"/>
  <c r="E131"/>
  <c r="E130" s="1"/>
  <c r="F122"/>
  <c r="E126"/>
  <c r="E103" s="1"/>
  <c r="F126"/>
  <c r="E51" i="39"/>
  <c r="E50"/>
  <c r="E49"/>
  <c r="E29"/>
  <c r="E28"/>
  <c r="E21"/>
  <c r="E20"/>
  <c r="E19"/>
  <c r="E18"/>
  <c r="E17"/>
  <c r="E15"/>
  <c r="E14"/>
  <c r="E13"/>
  <c r="E12"/>
  <c r="E11"/>
  <c r="E9"/>
  <c r="E8"/>
  <c r="E7"/>
  <c r="E6"/>
  <c r="E5"/>
  <c r="E4"/>
  <c r="C16"/>
  <c r="C24" s="1"/>
  <c r="F25" i="8"/>
  <c r="F23"/>
  <c r="G31" i="33"/>
  <c r="G30" s="1"/>
  <c r="F147"/>
  <c r="F131"/>
  <c r="F130" s="1"/>
  <c r="H79"/>
  <c r="F63"/>
  <c r="H63" s="1"/>
  <c r="F32" i="38"/>
  <c r="F31"/>
  <c r="F30"/>
  <c r="F29"/>
  <c r="F28"/>
  <c r="F27"/>
  <c r="F26"/>
  <c r="F25"/>
  <c r="F22"/>
  <c r="F21"/>
  <c r="E20"/>
  <c r="E19" s="1"/>
  <c r="D20"/>
  <c r="D19" s="1"/>
  <c r="F17"/>
  <c r="F16"/>
  <c r="F15"/>
  <c r="F11"/>
  <c r="F46" i="5"/>
  <c r="M91"/>
  <c r="M95" s="1"/>
  <c r="L47"/>
  <c r="L46" s="1"/>
  <c r="L95" s="1"/>
  <c r="H18"/>
  <c r="G18"/>
  <c r="F18"/>
  <c r="G95" l="1"/>
  <c r="N48"/>
  <c r="H30"/>
  <c r="F30"/>
  <c r="F103" i="33"/>
  <c r="H122"/>
  <c r="H126"/>
  <c r="F63" i="5"/>
  <c r="H64"/>
  <c r="H63" s="1"/>
  <c r="F79"/>
  <c r="H80"/>
  <c r="H79" s="1"/>
  <c r="F87"/>
  <c r="I87"/>
  <c r="I95" s="1"/>
  <c r="H49"/>
  <c r="H48" s="1"/>
  <c r="F48"/>
  <c r="F73"/>
  <c r="H73"/>
  <c r="H29"/>
  <c r="H26" s="1"/>
  <c r="F26"/>
  <c r="H25"/>
  <c r="H24" s="1"/>
  <c r="F60"/>
  <c r="H53" i="33"/>
  <c r="H130"/>
  <c r="H131"/>
  <c r="F19" i="38"/>
  <c r="F20"/>
  <c r="F13"/>
  <c r="E42" i="39"/>
  <c r="E31"/>
  <c r="E32"/>
  <c r="E33"/>
  <c r="E34"/>
  <c r="E46"/>
  <c r="D24"/>
  <c r="D48" s="1"/>
  <c r="E30"/>
  <c r="G211" i="33"/>
  <c r="C48" i="39"/>
  <c r="E24" l="1"/>
  <c r="H70" i="33"/>
  <c r="F59" i="5"/>
  <c r="F95" s="1"/>
  <c r="H60"/>
  <c r="H59" s="1"/>
  <c r="H95" s="1"/>
  <c r="D91"/>
  <c r="N91" s="1"/>
  <c r="D87"/>
  <c r="N87" s="1"/>
  <c r="E147" i="33"/>
  <c r="H147" s="1"/>
  <c r="F190" l="1"/>
  <c r="E190"/>
  <c r="E184" s="1"/>
  <c r="F176"/>
  <c r="E176"/>
  <c r="F171"/>
  <c r="E171"/>
  <c r="F169"/>
  <c r="E169"/>
  <c r="F159"/>
  <c r="E159"/>
  <c r="E133" s="1"/>
  <c r="H103"/>
  <c r="F101"/>
  <c r="E101"/>
  <c r="F99"/>
  <c r="E99"/>
  <c r="F97"/>
  <c r="H97" s="1"/>
  <c r="F95"/>
  <c r="H95" s="1"/>
  <c r="F91"/>
  <c r="E91"/>
  <c r="E84" s="1"/>
  <c r="F51"/>
  <c r="F50" s="1"/>
  <c r="E51"/>
  <c r="E50" s="1"/>
  <c r="H45"/>
  <c r="F43"/>
  <c r="E43"/>
  <c r="F41"/>
  <c r="E41"/>
  <c r="F31"/>
  <c r="E31"/>
  <c r="H16"/>
  <c r="F12"/>
  <c r="E12"/>
  <c r="E11" s="1"/>
  <c r="H51" l="1"/>
  <c r="H99"/>
  <c r="H101"/>
  <c r="H169"/>
  <c r="H171"/>
  <c r="H176"/>
  <c r="H61"/>
  <c r="H31"/>
  <c r="H41"/>
  <c r="H43"/>
  <c r="F11"/>
  <c r="H12"/>
  <c r="F84"/>
  <c r="H84" s="1"/>
  <c r="H91"/>
  <c r="H159"/>
  <c r="F133"/>
  <c r="H133" s="1"/>
  <c r="F184"/>
  <c r="H184" s="1"/>
  <c r="H190"/>
  <c r="H50"/>
  <c r="E168"/>
  <c r="F30"/>
  <c r="F168"/>
  <c r="E94"/>
  <c r="E40"/>
  <c r="E30"/>
  <c r="F40"/>
  <c r="F94"/>
  <c r="H168" l="1"/>
  <c r="E211"/>
  <c r="F211"/>
  <c r="H40"/>
  <c r="H30"/>
  <c r="H94"/>
  <c r="H11"/>
  <c r="H211" l="1"/>
  <c r="F19" i="8"/>
  <c r="E19"/>
  <c r="H66"/>
  <c r="H64"/>
  <c r="H58"/>
  <c r="H53"/>
  <c r="H45"/>
  <c r="H36"/>
  <c r="H34"/>
  <c r="H30"/>
  <c r="H26"/>
  <c r="H24"/>
  <c r="H21"/>
  <c r="H20"/>
  <c r="H15"/>
  <c r="E55"/>
  <c r="E54" s="1"/>
  <c r="F55"/>
  <c r="F54" s="1"/>
  <c r="E16"/>
  <c r="E13" s="1"/>
  <c r="F16"/>
  <c r="F13" s="1"/>
  <c r="H19" l="1"/>
  <c r="H55"/>
  <c r="H27"/>
  <c r="E46" i="5" l="1"/>
  <c r="E18"/>
  <c r="D73"/>
  <c r="D18"/>
  <c r="N18" l="1"/>
  <c r="N73"/>
  <c r="E95"/>
  <c r="E39" i="22"/>
  <c r="E10"/>
  <c r="E74"/>
  <c r="D74"/>
  <c r="F71"/>
  <c r="F68"/>
  <c r="F67"/>
  <c r="F66"/>
  <c r="F63"/>
  <c r="F62"/>
  <c r="F58"/>
  <c r="F55"/>
  <c r="F54"/>
  <c r="F52"/>
  <c r="F46"/>
  <c r="D43"/>
  <c r="F42"/>
  <c r="F41"/>
  <c r="F40"/>
  <c r="F39"/>
  <c r="F38"/>
  <c r="F37"/>
  <c r="F36" s="1"/>
  <c r="F28"/>
  <c r="F26"/>
  <c r="F22"/>
  <c r="F21"/>
  <c r="F18" s="1"/>
  <c r="F16"/>
  <c r="F13" s="1"/>
  <c r="F11"/>
  <c r="F10"/>
  <c r="F9"/>
  <c r="F52" i="8"/>
  <c r="F63"/>
  <c r="F65"/>
  <c r="F18"/>
  <c r="F35"/>
  <c r="E52"/>
  <c r="E51" s="1"/>
  <c r="E63"/>
  <c r="E18"/>
  <c r="E23"/>
  <c r="E25"/>
  <c r="E35"/>
  <c r="F14"/>
  <c r="E14"/>
  <c r="H13"/>
  <c r="D30" i="5"/>
  <c r="D46"/>
  <c r="N46" s="1"/>
  <c r="D29" i="1"/>
  <c r="N29" s="1"/>
  <c r="D11"/>
  <c r="D13"/>
  <c r="N13" s="1"/>
  <c r="D19"/>
  <c r="N19" s="1"/>
  <c r="N24"/>
  <c r="D27"/>
  <c r="N27" s="1"/>
  <c r="D32"/>
  <c r="N32" s="1"/>
  <c r="D95" i="5" l="1"/>
  <c r="N11" i="1"/>
  <c r="D35"/>
  <c r="N30" i="5"/>
  <c r="N95"/>
  <c r="F51" i="22"/>
  <c r="N35" i="1"/>
  <c r="H18" i="8"/>
  <c r="F61" i="22"/>
  <c r="F65"/>
  <c r="E32" i="8"/>
  <c r="N12" i="5"/>
  <c r="H65" i="8"/>
  <c r="H63"/>
  <c r="H52"/>
  <c r="H41"/>
  <c r="F32"/>
  <c r="H35"/>
  <c r="H33"/>
  <c r="H25"/>
  <c r="H23"/>
  <c r="H14"/>
  <c r="F22"/>
  <c r="E22"/>
  <c r="F62"/>
  <c r="E62"/>
  <c r="E67" s="1"/>
  <c r="F51"/>
  <c r="H51" s="1"/>
  <c r="H40" l="1"/>
  <c r="F67"/>
  <c r="H32"/>
  <c r="H54"/>
  <c r="H62"/>
  <c r="H22"/>
  <c r="H67" l="1"/>
  <c r="H11" i="1"/>
  <c r="H35" s="1"/>
</calcChain>
</file>

<file path=xl/sharedStrings.xml><?xml version="1.0" encoding="utf-8"?>
<sst xmlns="http://schemas.openxmlformats.org/spreadsheetml/2006/main" count="1470" uniqueCount="554">
  <si>
    <t>Dział</t>
  </si>
  <si>
    <t>Nazwa podziałki klasyfikacji budżetowej</t>
  </si>
  <si>
    <t>Prognozowane dochody budżetu</t>
  </si>
  <si>
    <t>Powiatu Białogardzkiego</t>
  </si>
  <si>
    <t>(ogółem)</t>
  </si>
  <si>
    <t>związane z realizacją zadań z zakresu administracji rządowej oraz innych zadań zleconych ustawami</t>
  </si>
  <si>
    <t>Wydatki budżetu</t>
  </si>
  <si>
    <t>Rozdział</t>
  </si>
  <si>
    <t>Wydatki bieżące</t>
  </si>
  <si>
    <t>w tym</t>
  </si>
  <si>
    <t>Wydatki na obsługę długu</t>
  </si>
  <si>
    <t>Przychody</t>
  </si>
  <si>
    <t xml:space="preserve"> </t>
  </si>
  <si>
    <t>010</t>
  </si>
  <si>
    <t>020</t>
  </si>
  <si>
    <t>Podatek dochodowy od osób fizycznych</t>
  </si>
  <si>
    <t>0010</t>
  </si>
  <si>
    <t>Subwencje ogólne z budżetu państwa</t>
  </si>
  <si>
    <t>0420</t>
  </si>
  <si>
    <t>Wpływy z opłaty komunikacyjnej</t>
  </si>
  <si>
    <t>0470</t>
  </si>
  <si>
    <t>0750</t>
  </si>
  <si>
    <t>0770</t>
  </si>
  <si>
    <t>Wpływy z opłat za zarząd, użytkowanie i użytkowanie wieczyste nieruchomości</t>
  </si>
  <si>
    <t>Dotacje celowe otrzymane z budżetu państwa na zadania bieżące realizowane przez powiat na podstawie porozumień z organami administracji rządowej</t>
  </si>
  <si>
    <t>Dotacje celowe otrzymane z budżetu państwa na realizację bieżących zadań własnych powiatu</t>
  </si>
  <si>
    <t>Razem</t>
  </si>
  <si>
    <t>Rolnictwo i łowiectwo</t>
  </si>
  <si>
    <t>Leśnictwo</t>
  </si>
  <si>
    <t>Gospodarka mieszkaniowa</t>
  </si>
  <si>
    <t>Działalność usługowa</t>
  </si>
  <si>
    <t>Administracja publiczna</t>
  </si>
  <si>
    <t>Bezpieczeństwo publiczne i ochrona przeciwpożarowa</t>
  </si>
  <si>
    <t>Różne rozliczenia</t>
  </si>
  <si>
    <t>Ochrona zdrowia</t>
  </si>
  <si>
    <t>Pomoc społeczna</t>
  </si>
  <si>
    <t>Pozostałe zadania w zakresie polityki społecznej</t>
  </si>
  <si>
    <t>0690</t>
  </si>
  <si>
    <t>Wpływy z różnych opłat</t>
  </si>
  <si>
    <t>Drogi publiczne powiatowe</t>
  </si>
  <si>
    <t>Komendy powiatowe Państwowej Straży Pożarnej</t>
  </si>
  <si>
    <t>Szkoły podstawowe specjalne</t>
  </si>
  <si>
    <t>Licea profilowane</t>
  </si>
  <si>
    <t>Szkoły zawodowe</t>
  </si>
  <si>
    <t>Poradnie psychologiczno-pedagogiczne</t>
  </si>
  <si>
    <t>Placówki wychowania pozaszkolnego</t>
  </si>
  <si>
    <t>Internaty i bursy szkolne</t>
  </si>
  <si>
    <t>Licea ogólnokształcące</t>
  </si>
  <si>
    <t>01005</t>
  </si>
  <si>
    <t>0920</t>
  </si>
  <si>
    <t>Obrona narodowa</t>
  </si>
  <si>
    <t>Pozostałe wydatki obronne</t>
  </si>
  <si>
    <t>0020</t>
  </si>
  <si>
    <t>Podatek dochodowy od osób prawnych</t>
  </si>
  <si>
    <t>Oświata i wychowanie</t>
  </si>
  <si>
    <t>0830</t>
  </si>
  <si>
    <t>0970</t>
  </si>
  <si>
    <t>Wpływy z usług</t>
  </si>
  <si>
    <t>Wpływy z różnych dochodów</t>
  </si>
  <si>
    <t>Pozostałe odsetki</t>
  </si>
  <si>
    <t>Wpłaty z tytułu odpłatnego nabycia prawa własności  oraz prawa użytkowania wieczystego nieruchomości</t>
  </si>
  <si>
    <t>Dochody od osób prawnych, od osób fizycznych i od innych jednostek nieposiadających osobowości prawnej oraz wydatki związane z ich poborem</t>
  </si>
  <si>
    <t>Rozdz.</t>
  </si>
  <si>
    <t>§</t>
  </si>
  <si>
    <t>Prace geodezyjno-urządzeniowe na potrzeby rolnictwa</t>
  </si>
  <si>
    <t>Dot.cel.otrzymane z budżetu państwa na zad. bieżące z zakresu adm. rządowej oraz inne zad. zlecone ustawami realiz.przez powiat</t>
  </si>
  <si>
    <t>02001</t>
  </si>
  <si>
    <t>Gospodarka leśna</t>
  </si>
  <si>
    <t>Środki otrzymane od pozost. jednostek zalicz. do sektora fin. publ. na realizację zadań bieżących jedn. zaliczanych do sektora finansów publ.</t>
  </si>
  <si>
    <t>Transport i łączność</t>
  </si>
  <si>
    <t>Gospodarka gruntami i nieruchomościami</t>
  </si>
  <si>
    <t>Prace geodezyjne i kartograficzne</t>
  </si>
  <si>
    <t>Opracowania geodezyjne i kartograficzne</t>
  </si>
  <si>
    <t>Nadzór budowlany</t>
  </si>
  <si>
    <t>Pozostała działalność</t>
  </si>
  <si>
    <t>Dotacje otrzymane z funduszy celowych na realizację zadań bieżących jednostek sektora finansów publicznych</t>
  </si>
  <si>
    <t>Urzędy wojewódzkie</t>
  </si>
  <si>
    <t>Starostwa powiatowe</t>
  </si>
  <si>
    <t>Komisje poborowe</t>
  </si>
  <si>
    <t>Obrona cywilna</t>
  </si>
  <si>
    <t>Udziały powiatów w podatkach stanowiących dochód budżetu państwa</t>
  </si>
  <si>
    <t>Część oświatowa subwencji ogólnej dla jednostek samorządu terytorialnego</t>
  </si>
  <si>
    <t>Część wyrównawcza subwencji ogólnej dla powiatów</t>
  </si>
  <si>
    <t>Różne rozliczenia finansowe</t>
  </si>
  <si>
    <t>Część równoważąca subwencji ogólnej dla powiatów</t>
  </si>
  <si>
    <t>Dokształcanie i doskonalenie nauczycieli</t>
  </si>
  <si>
    <t>Szpitale ogólne</t>
  </si>
  <si>
    <t>Przeciwdziałanie alkoholizmowi</t>
  </si>
  <si>
    <t>Składki na ubezpieczenie zdrowotne oraz świadczenia dla osób nieobjętych obowiązkiem ubezpieczenia zdrowotnego</t>
  </si>
  <si>
    <t>Placówki opiekuńczo-wychowawcze</t>
  </si>
  <si>
    <t>Domy pomocy społecznej</t>
  </si>
  <si>
    <t>Ośrodki wsparcia</t>
  </si>
  <si>
    <t>Zasiłki rodzinne, pielęgnacyjne i wychowawcze</t>
  </si>
  <si>
    <t>Powiatowe centra pomocy rodzinie</t>
  </si>
  <si>
    <t>Zespoły do spraw orzekania o niepełnospr.</t>
  </si>
  <si>
    <t>Powiatowe urzędy pracy</t>
  </si>
  <si>
    <t>Edukacyjna opieka wychowawcza</t>
  </si>
  <si>
    <t>Poradnie psychologiczno-pedagogiczne, w tym poradnie specjalistyczne</t>
  </si>
  <si>
    <t>Pomoc materialna dla uczniów</t>
  </si>
  <si>
    <t>Kultura fizyczna i sport</t>
  </si>
  <si>
    <t>Zadania w zakresie kultury fizycznej i sportu</t>
  </si>
  <si>
    <t>0960</t>
  </si>
  <si>
    <t>02002</t>
  </si>
  <si>
    <t>Nadzór nad gospodarką leśną</t>
  </si>
  <si>
    <t>Działalnośc usługowa</t>
  </si>
  <si>
    <t>Prace geodezyjne i urządzeniowe</t>
  </si>
  <si>
    <t>Rady powiatów</t>
  </si>
  <si>
    <t>Bezpieczeństwo publ. i ochr.przeciwpoż.</t>
  </si>
  <si>
    <t>Komendy wojewódzkie policji</t>
  </si>
  <si>
    <t>Komendy powiat. Państwowej Straży Pożarnej</t>
  </si>
  <si>
    <t>Obsługa długu publicznego</t>
  </si>
  <si>
    <t>Obsługa papierów wartościowychj, kredytów i pożyczek j.s.t</t>
  </si>
  <si>
    <t>Gimnazja specjalne</t>
  </si>
  <si>
    <t>Szkoły zawodowe specjalne</t>
  </si>
  <si>
    <t>Rodziny zastępcze</t>
  </si>
  <si>
    <t>Świadczenia rodzinne oraz składki na ubezpieczenie emerytalne i rentowe z ubezpieczenia społecznego</t>
  </si>
  <si>
    <t>Pozost. zad.w zakresie polityki społecznej</t>
  </si>
  <si>
    <t>Zespoły ds.orzekania o niepełnospr.</t>
  </si>
  <si>
    <t>Kultura i ochrona dziedzictwa narodowego</t>
  </si>
  <si>
    <t>Pozostałe zadania w zakresie kultury</t>
  </si>
  <si>
    <t>Młodzieżowe osrodki wychowawcze</t>
  </si>
  <si>
    <t>01008</t>
  </si>
  <si>
    <t>Melioracje wodne</t>
  </si>
  <si>
    <t>Pomoc materialna dla studentów</t>
  </si>
  <si>
    <t>RAZEM</t>
  </si>
  <si>
    <t>% wykonania do planu</t>
  </si>
  <si>
    <t>Pomoc dla repatriantów</t>
  </si>
  <si>
    <t>Kolonie i obozy oraz inne formy wypoczynku dzieci i młodzieży szkolnej, a także szkol.młodzieży</t>
  </si>
  <si>
    <t>Wykonanie</t>
  </si>
  <si>
    <t>% wykonania</t>
  </si>
  <si>
    <t>0570</t>
  </si>
  <si>
    <t>Młodzieżowe ośrodki wychowawcze</t>
  </si>
  <si>
    <t>Dochody jednostek samorządu terytorialnego związane z realizacją zadań z zakr.admin. rzadowej oraz innych zadań zleconych ustawami</t>
  </si>
  <si>
    <t>Dochody z najmu i dierżawy składników majątkowych Skarbu Państwa, jednostek samorz.teryt. lub innych jednostek zaliczanych do s. f.p. oraz innych umów o podobnym charakterze</t>
  </si>
  <si>
    <t>Dotacje celowe o trzymane z gminy na zadania bieżące realizaowane na podstawie porozumień (umów) między jedn.samorz.terytor.</t>
  </si>
  <si>
    <t>Wpływy ze zwrotów dotacji wykorzystanych niezgodnie z przeznaczeniem lub pobranych w nadmiernej wysokości</t>
  </si>
  <si>
    <t>Dotacje celowe otrzymane z powiatu na zadania bieżące realizowane  na podstawie porozumień (umów) między jedn. samorz. teryt.</t>
  </si>
  <si>
    <t>Plan</t>
  </si>
  <si>
    <t>%</t>
  </si>
  <si>
    <t>Dotacje otrzymane z funduszy celowych na realizację zadań bieżących dla jednostek sektora finansów publicznych</t>
  </si>
  <si>
    <t>Gospodarka komunalna i ochrona środowiska</t>
  </si>
  <si>
    <t>700</t>
  </si>
  <si>
    <t>710</t>
  </si>
  <si>
    <t>750</t>
  </si>
  <si>
    <t>Promocja jednostek samorządu terytorialnego</t>
  </si>
  <si>
    <t xml:space="preserve">         w zł</t>
  </si>
  <si>
    <t xml:space="preserve">           w zł</t>
  </si>
  <si>
    <t>Obsługa papierów wartościowych, kredytów i pożyczek j.s.t</t>
  </si>
  <si>
    <t>0680</t>
  </si>
  <si>
    <t xml:space="preserve"> z tego: </t>
  </si>
  <si>
    <t>Wydatki majątkowe</t>
  </si>
  <si>
    <t xml:space="preserve"> z tego :</t>
  </si>
  <si>
    <t>Przetwórstwo przemysłowe</t>
  </si>
  <si>
    <t>Rozwój przedsiebiorczości</t>
  </si>
  <si>
    <t>Ośrodki rewalidacyjno-wychowawcze</t>
  </si>
  <si>
    <t>Obiekty sportowe</t>
  </si>
  <si>
    <t>Rehabilitacja zawodowa i społ. osób niepełnosprawnych</t>
  </si>
  <si>
    <t xml:space="preserve">Dotacje celowe otrzymane z budżetu państwa na realizację bieżących zadań własnych powiatu </t>
  </si>
  <si>
    <t>Otrzymane spadki, zapisy i darowizny w postaci pieniężnej</t>
  </si>
  <si>
    <t>Wpływy od rodziców z tytułu odpłatności za utrzymanie dzieci (wychowanków) w placówkach opiekuńczo-wychowawczych</t>
  </si>
  <si>
    <t>Treść</t>
  </si>
  <si>
    <t>Plan po zmianach</t>
  </si>
  <si>
    <t>Grzywny, mandaty i inne kary pienieżne od osób fizycznych</t>
  </si>
  <si>
    <t>Ogółem</t>
  </si>
  <si>
    <t>Kwota dotacji</t>
  </si>
  <si>
    <t>Prywatne Studium SCHOLAR</t>
  </si>
  <si>
    <t>Prywatne Liceum Profilowane SCHOLAR (dla młodzieży)</t>
  </si>
  <si>
    <t>Prywatne Policealne Studium Zawodowe</t>
  </si>
  <si>
    <t>w zł</t>
  </si>
  <si>
    <t>Dochody z najmu i dzierżawy składników majątkowych Skarbu Państwa, jednostek samorz.teryt. lub innych jednostek zaliczanych do s. f.p. oraz innych umów o podobnym charakterze</t>
  </si>
  <si>
    <t>Zakup usług pozostałych</t>
  </si>
  <si>
    <t>Koszty postepowania sądowego i prokuratorskiego</t>
  </si>
  <si>
    <t>Składki na ubezpieczenia społeczne</t>
  </si>
  <si>
    <t>Wynagrodzenia bezosobowe</t>
  </si>
  <si>
    <t>Zakup materiałów i wyposażenia</t>
  </si>
  <si>
    <t>Zakup usług remontowych</t>
  </si>
  <si>
    <t>Szkolenia pracowników niebedących członkami korpusu służby cywilnej</t>
  </si>
  <si>
    <t>Składki na Fundusz Pracy</t>
  </si>
  <si>
    <t>Środki pochodzące z budżetu Unii Europejskiej przeznaczone na finansowanie programów i projektów realizowanych przez jednostki finansów publicznych</t>
  </si>
  <si>
    <t>Zarządzanie kryzysowe</t>
  </si>
  <si>
    <t>Wpływy z innych opłat stanowiących dochody jednostek samorządu terytorialnego na podstawie ustaw</t>
  </si>
  <si>
    <t>0490</t>
  </si>
  <si>
    <t>Wpływyz innych lokalnych opłat pobieranych przez jednostki samorządu terytorialnego na podstawie odrenych ustaw</t>
  </si>
  <si>
    <t>Środki na dofinansowanie własnych zadań bieżących gmin , powiatów, samorządów województw, pozyskane z innych źródeł</t>
  </si>
  <si>
    <t>Centra kształcenia ustawicznego i praktyczego oraz ośrodki dokształcania zawodowego</t>
  </si>
  <si>
    <t>Wpływy z tytułu pomocy finansowej udzielanej między jednostkami samorządu terytorialnego na dofinansowanie własnych zadań bieżących</t>
  </si>
  <si>
    <t>Dotacje otrzymane z funduszy celowych na finansowanie lub dofinansowanie kosztów realizacji inwestycji i zakupów inwestycyjnych jednostek sektora finansów publicznych</t>
  </si>
  <si>
    <t>Ochotnicze straże pożarne</t>
  </si>
  <si>
    <t>Centra kształcenia ustawicznegi i praktycznego</t>
  </si>
  <si>
    <t>Stołówki szkolne</t>
  </si>
  <si>
    <t>Biblioteki</t>
  </si>
  <si>
    <t>Nazwa</t>
  </si>
  <si>
    <t>Lp.</t>
  </si>
  <si>
    <t>Warsztaty Terapii Zajęciowej SZANSA w Białogardzie</t>
  </si>
  <si>
    <t>Ośrodek Rehabilitacyjno-Edukacyjno-Wychowawczy w Kowalkach</t>
  </si>
  <si>
    <r>
      <t>Wykonanie dotacji podmiotowych
udzielone z budżetu Gminy/Powiatu</t>
    </r>
    <r>
      <rPr>
        <sz val="12"/>
        <rFont val="Times New (W1)"/>
        <family val="1"/>
      </rPr>
      <t xml:space="preserve"> ..............................
</t>
    </r>
    <r>
      <rPr>
        <b/>
        <sz val="12"/>
        <rFont val="Times New (W1)"/>
        <family val="1"/>
      </rPr>
      <t>w 2008 r.</t>
    </r>
  </si>
  <si>
    <t xml:space="preserve">udzielonych z budżetu Powiatu Białogardzkiego </t>
  </si>
  <si>
    <t>na zadania własne powiatu realizowane przez podmioty</t>
  </si>
  <si>
    <t>Nazwa zadania</t>
  </si>
  <si>
    <t>Dotacje dla innych powiatów na pokrycie kosztów utrzymania dzieci w z Powiatu Białogardzkiego w rodzianch zastępczych</t>
  </si>
  <si>
    <t xml:space="preserve">należące do sektora finansów publicznych </t>
  </si>
  <si>
    <t>Wpłaty Powiatu Białogardzkiego</t>
  </si>
  <si>
    <t>na wyodrębnione fundusze celowe</t>
  </si>
  <si>
    <t>Fundusz celowy</t>
  </si>
  <si>
    <t xml:space="preserve">Plan przychodów i wydatków </t>
  </si>
  <si>
    <t>I</t>
  </si>
  <si>
    <t>x</t>
  </si>
  <si>
    <t>Stan funduszu na poczatek roku</t>
  </si>
  <si>
    <t>II</t>
  </si>
  <si>
    <t>1.</t>
  </si>
  <si>
    <t xml:space="preserve">III </t>
  </si>
  <si>
    <t>Wydatki ogółem</t>
  </si>
  <si>
    <t>IV</t>
  </si>
  <si>
    <t>Stan funduszu na koniec roku</t>
  </si>
  <si>
    <t xml:space="preserve">Powiatu Białogardzkiego </t>
  </si>
  <si>
    <t>Powiatowego Funduszu Gospodarki Zasobem Geodezyjnym i Kartograficznym</t>
  </si>
  <si>
    <t>Dział   710  Rozdział   71030</t>
  </si>
  <si>
    <t>Wyszczególnienie</t>
  </si>
  <si>
    <t>2.</t>
  </si>
  <si>
    <t>3.</t>
  </si>
  <si>
    <t>Przelewy redystrybucyjne</t>
  </si>
  <si>
    <t>Dotacje przekazane z funduszy celowych na realizację zadań bieżących dla jednostek sektora finansów publicznych</t>
  </si>
  <si>
    <t>Zakup materiałów papirniczych do sprzetu drukarskiego i urzadzeń kserograficznych</t>
  </si>
  <si>
    <t>Zakupo akcesoriów komputerowych, w tym programów i licencji</t>
  </si>
  <si>
    <t>0910</t>
  </si>
  <si>
    <t>0870</t>
  </si>
  <si>
    <t>0900</t>
  </si>
  <si>
    <t>2910</t>
  </si>
  <si>
    <t>Odsetki od nieterminowych wpłat z tytułu podatków i opłat</t>
  </si>
  <si>
    <t>Środki na dofinansowanie własnych zadań bieżących gmin, powiatów, samorządów województw, pozyskane z innych źródeł</t>
  </si>
  <si>
    <t>Wpływy ze sprzedaży składników majątkowych</t>
  </si>
  <si>
    <t>Odsetki od dotacji wykorzystanych niezgodnie z przeznaczeniem lub pobranych w nadmiernej wysokości</t>
  </si>
  <si>
    <t>Dochody bieżące</t>
  </si>
  <si>
    <t>Dochody majątkowe</t>
  </si>
  <si>
    <t xml:space="preserve">§ </t>
  </si>
  <si>
    <t>Dotacje celowe otrzymane z budżetu państwa na realizacje inwestycji i zakupów inwestycyjnych własnych powiatu</t>
  </si>
  <si>
    <t>Ośrodki adopcyjno-opiekuńcze</t>
  </si>
  <si>
    <t>01095</t>
  </si>
  <si>
    <t>Drogi publiczne gminne</t>
  </si>
  <si>
    <t>Straż Graniczna</t>
  </si>
  <si>
    <t>Inne formy kształcenia osobno niewymienione</t>
  </si>
  <si>
    <t>Niepubliczna Szkoła Specjalna Przysposabiająca do Pracy w Kowalkach</t>
  </si>
  <si>
    <t>4.</t>
  </si>
  <si>
    <t>5.</t>
  </si>
  <si>
    <t>6.</t>
  </si>
  <si>
    <t>7.</t>
  </si>
  <si>
    <t>8.</t>
  </si>
  <si>
    <t>Wydatki na zakupy inwestycyjne funduszy celowych</t>
  </si>
  <si>
    <t>Wpływy z innych lokalnych opłat pobieranych przez jednostki samorządu terytorialnego na podstawie odrenych ustaw</t>
  </si>
  <si>
    <t>Dotacje celowe w ramach programów finansowanych z udziałem środków europejskich oraz środków, o których mowa w art.. 5 ust. 1 pkt 3 oraz ust. 3 pkt 5 i 6 ustwawy, lub płatności w ramach budżetu środków europejskich</t>
  </si>
  <si>
    <t>Wpływy ze zwrotów dotacji oraz płatności, w tym wykorzystanych niezgodnie z przeznaczeniem lub wykorzystanych z naruszeniem procedur, o których mowa w art.. 184 ustawy, pobranych nienależnie lub w nadmiernej wysokości</t>
  </si>
  <si>
    <t>Dotacje celowe otrzymane z powatu na inwestycje i zakupy inwestycyjne realizowane na podstawie porozumień między jednostkami samorządu terytorialnego</t>
  </si>
  <si>
    <t>Wpływy z tytułu pomocy finansowej udzielanej między jednostkami samorządu terytorialnego na dofinansowanie własnych zadań inwestycyjnych i zakupów inwestycyjnych</t>
  </si>
  <si>
    <t>Dot.cel.otrzymane z budżetu państwa na inwestycje i zakupy inwestycyjne z zakresu adm. rządowej oraz inne zad. zlecone ustawami realiz.przez powiat</t>
  </si>
  <si>
    <t>Dotacje otrzymane z państwowych funduszy celowych na finansowanie lub dofinansowanie kosztów realizacji inwestycji i zakupów inwestycyjnych jednostek sektora finansów publicznych</t>
  </si>
  <si>
    <t>Dotacje celowe otrzymane z budżetu państwa na realizację inwestycji i zakupów inwestycyjnych własnych powiatu</t>
  </si>
  <si>
    <t>Wpływy i wydatki związane z gromadzeniem środków z opłat i kar za korzystanie ze środowiska</t>
  </si>
  <si>
    <t>Zadania w zakresie przeciwdziałania przemocy w rodzinie</t>
  </si>
  <si>
    <t>Wynagrodzenia i składki od nich naliczane</t>
  </si>
  <si>
    <t>Dotacje na zadania bieżące</t>
  </si>
  <si>
    <t>Świadczenia na rzezc osób fizycznych</t>
  </si>
  <si>
    <t>Wydatki na programy finansowane z udziałem środków, o których mowa w art.. 5 ust.1 pkt 2i 3 ustawy o fin.publ., w części zwiazanej z realizacją zadań</t>
  </si>
  <si>
    <t>Wydatki związane z realizacją zadań statutowych</t>
  </si>
  <si>
    <t>Plan na 2010r.</t>
  </si>
  <si>
    <t>dochody bieżące</t>
  </si>
  <si>
    <t>dochody majątkowe</t>
  </si>
  <si>
    <t xml:space="preserve">Przychody i rozchody 
</t>
  </si>
  <si>
    <t>budżetu Powiatu Białogardzkiego</t>
  </si>
  <si>
    <t>w 2010 r.</t>
  </si>
  <si>
    <t>Klasyfikacja
§</t>
  </si>
  <si>
    <t>Przychody ogółem:</t>
  </si>
  <si>
    <t>Kredyty</t>
  </si>
  <si>
    <t>§ 952</t>
  </si>
  <si>
    <t>Pożyczki</t>
  </si>
  <si>
    <t>§ 903</t>
  </si>
  <si>
    <t>Spłaty pożyczek udzielonych</t>
  </si>
  <si>
    <t>§ 951</t>
  </si>
  <si>
    <t>Prywatyzacja majątku jst</t>
  </si>
  <si>
    <t xml:space="preserve">§ 944 </t>
  </si>
  <si>
    <t>Nadwyżka budżetu z lat ubiegłych</t>
  </si>
  <si>
    <t>§ 957</t>
  </si>
  <si>
    <t>Papiery wartościowe (obligacje)</t>
  </si>
  <si>
    <t>§ 931</t>
  </si>
  <si>
    <t>Inne źródła (wolne środki)</t>
  </si>
  <si>
    <t>§ 955</t>
  </si>
  <si>
    <t>Rozchody ogółem:</t>
  </si>
  <si>
    <t>Spłaty kredytów</t>
  </si>
  <si>
    <t>§ 992</t>
  </si>
  <si>
    <t>Spłaty pożyczek</t>
  </si>
  <si>
    <t>Spłaty pożyczek otrzymanych na finansowanie zadań realizowanych z udziałem środków pochodzących z budżetu UE</t>
  </si>
  <si>
    <t>§ 963</t>
  </si>
  <si>
    <t>Udzielone pożyczki</t>
  </si>
  <si>
    <t>§ 991</t>
  </si>
  <si>
    <t>Lokaty</t>
  </si>
  <si>
    <t>§ 994</t>
  </si>
  <si>
    <t>Wykup papierów wartościowych (obligacji)</t>
  </si>
  <si>
    <t>§ 982</t>
  </si>
  <si>
    <t>Rozchody z tytułu innych rozliczeń</t>
  </si>
  <si>
    <t>§ 995</t>
  </si>
  <si>
    <t>Pożyczki na finansowanie zadań realizowanych z udziałem środków pochodzących z budżetu UE</t>
  </si>
  <si>
    <t>Realizacja</t>
  </si>
  <si>
    <t>Tabela Nr 1</t>
  </si>
  <si>
    <t>Tabela Nr 2</t>
  </si>
  <si>
    <t>Tabela Nr 4</t>
  </si>
  <si>
    <t>Według działów i rozdziałów klasyfikacji oraz ważniejszych źródeł:</t>
  </si>
  <si>
    <t>Infrastruktura kolejowa</t>
  </si>
  <si>
    <t>Nazwa instytucji lub zadania</t>
  </si>
  <si>
    <t>Prywatne Liceum Ogólnokształcące SCHOLAR dla Dorosłych po ZSZ</t>
  </si>
  <si>
    <t>Prywatne Liceum Ogólnokształcące SCHOLAR dla Dorosłych</t>
  </si>
  <si>
    <t>Prywatne Liceum Ogólnokształcące SCHOLAR - dla młodzieży</t>
  </si>
  <si>
    <t>Prywatne Liceum Ogólnokształcące dla Dorosłych</t>
  </si>
  <si>
    <t>Prywatne Uzupełniające Liceum Ogólnokształcące dla Dorosłych</t>
  </si>
  <si>
    <t>Prywatne Liceum Profilowane SCHOLAR dla Dorosłych</t>
  </si>
  <si>
    <t>Dotacja na roboty budowlane, remonty, modernizacje, konserwacje obiektów znajdujących się w ewidencjach zabytków lub wpisanych do rejestrów zabytków</t>
  </si>
  <si>
    <t>Wsparcie finansowe rozwoju sportu kwalifikowanego</t>
  </si>
  <si>
    <t xml:space="preserve"> Dotacje  celowe udzielone z budżetu Powiatu Białogardzkiego</t>
  </si>
  <si>
    <t>Warsztaty Terapii Zajęciowej ISKIERKA w Karlinie</t>
  </si>
  <si>
    <t>Biblioteka Powiatowa</t>
  </si>
  <si>
    <t>Wspólna organizacja  z Gminą Karlino imprez kulturalnych</t>
  </si>
  <si>
    <t>2317, 2319</t>
  </si>
  <si>
    <t>Rodzina Razem - Miasto Białogard</t>
  </si>
  <si>
    <t>Rodzina Razem - Gmina Białogard</t>
  </si>
  <si>
    <t>Rodzina razem - Gmina Tychowo</t>
  </si>
  <si>
    <t>Rodzina Razem - Gmina Karlino</t>
  </si>
  <si>
    <t>Kwota przekazana</t>
  </si>
  <si>
    <t>Planowana dotacja</t>
  </si>
  <si>
    <t>Tabela Nr 5</t>
  </si>
  <si>
    <t>Dotacje dla innych powiatów na pokrycie kosztów utrzymania dzieci z Powiatu Białogardzkiego w placówkach opiekuńczo-wychowawczych</t>
  </si>
  <si>
    <t>Tabela Nr 6</t>
  </si>
  <si>
    <t>Szpital Powiatowy</t>
  </si>
  <si>
    <t>Fundusz Wsparcia Morskiego Oddziału Straży Granicznej</t>
  </si>
  <si>
    <t>Dofinansowanie zakupu paliwa do pojazdów służbowych</t>
  </si>
  <si>
    <t>Tabela Nr 8</t>
  </si>
  <si>
    <t>Dotacje celowe</t>
  </si>
  <si>
    <t>udzielone z budżetu Powiatu Białogardzkiego</t>
  </si>
  <si>
    <t>Dotacja dla Stowarzyszenia "SOS Wioski Dziecięce" w Karlinie na prowadzenie placówki opiekuńczo-wychowawczej</t>
  </si>
  <si>
    <t>Prowadzenie Domu Pomocy Społecznej w Białogardzie o zasięgu ponadgminnym (powiatowym) dla osób w podeszłym wieku i osób przewlekle somatycznie chorych - dotacja dla Stowarzyszenia Pomocy PRZYTULISKO w Białogardzie</t>
  </si>
  <si>
    <t>Upowszechnianie kultury fizycznej i sportu realizowane poprzez organizację imprez sportowych dla dzieci i młodzieży w Powiecie Białogardzkim</t>
  </si>
  <si>
    <t>Tabela Nr 7</t>
  </si>
  <si>
    <t>Tabela Nr 9</t>
  </si>
  <si>
    <t>Pomoc finansowa dla Gminy Tychowo na zadanie pn.  "Przebudowa gminnych dróg dojazdowych do drogi wojewódzkiej nr 167 i drogi powiatowej 1180Z, w tym przebudowa drogi dojazdowej (działka nr 204,208 i 209) do drogi wojewódzkiej nr 167 i drogi powiatowej  1180 Z z miejscowości Sadkowo i przebudowa gminnej drogi dojazdowej (działka nr 272 i 273) do drogi wojewódzkiej nr 167 z miejscowości Rudno"</t>
  </si>
  <si>
    <t>Pomoc finansowa dla Gminy Karlino na zadanie p.n. "Przebudowa oraz remont dróg gminnych wraz z infrastrukturą techniczną w Karlinie - etap II</t>
  </si>
  <si>
    <t>Pomoc finansowa dla Gminy Białogard na zadania związane z działalnością ochotniczych straży pożarnych</t>
  </si>
  <si>
    <t>Pomoc finansowa dla PowiatuWałeckiego na organizację obozu sportowego dla młodzieży</t>
  </si>
  <si>
    <t>Tabela Nr 10</t>
  </si>
  <si>
    <t>na zadania inwestycyjne jednostek</t>
  </si>
  <si>
    <t>Dotacja dla Polskich Linii Kolejowych SA na dofinansowanie przebudowy przejazdu kolejowego</t>
  </si>
  <si>
    <t xml:space="preserve">nienależące do sektora finansów publicznych </t>
  </si>
  <si>
    <t xml:space="preserve">nienależących do sektora finansów publicznych </t>
  </si>
  <si>
    <t xml:space="preserve">na pomoc finansową innym jednostkom samorządu terytorialnego </t>
  </si>
  <si>
    <t>Tabela Nr 11</t>
  </si>
  <si>
    <t>Tabela Nr 12</t>
  </si>
  <si>
    <t>Kwalifikacja wojskowa</t>
  </si>
  <si>
    <t>w 2010 roku</t>
  </si>
  <si>
    <t>0580</t>
  </si>
  <si>
    <t>Usuwanie skutków klęsk żywiołowych</t>
  </si>
  <si>
    <t>Wybory do rad gmin, rad powiatów i sejmików województw, wybory wójtów, burmistrzów i prezydentów miast oraz referenda gminne, powiatowe i wojewódzkie</t>
  </si>
  <si>
    <t>Urzędy naczelnych organów władzy państwowej, kontroli i ochrony prawa oraz sądownictwa</t>
  </si>
  <si>
    <t>Grzywny i kary pieniężne od osób prawnych i innych jednostek organizacyjnych</t>
  </si>
  <si>
    <t>751</t>
  </si>
  <si>
    <t>Dotacja dla Fundacji IBIS w Sławnie na prowadzenie Wielofunkcyjnej Placówki Opiekuńczo-Wychowawczej DORIAN w Darłowie</t>
  </si>
  <si>
    <t>w  2010 r.</t>
  </si>
  <si>
    <t>Dodatkowe służby pełnione przez policjalntów na terenie Powiatu Białogardzkiego</t>
  </si>
  <si>
    <t>Fundusz Wsparcia Policji</t>
  </si>
  <si>
    <t>Tabela Nr 3</t>
  </si>
  <si>
    <t>Dotacja celowa otrzymana z tytułu pomocy finansowej udzielanej między jednistkami samorządu terytorialnego na dofinansowanie własnych zadań bieżących</t>
  </si>
  <si>
    <t>Dotacje celowe w ramach programów finansowych z udziałem środków europejskich oraz środków, o których mowa w art..5 ust.1 pkt 3 oraz ust. 3 pkt 5 i 6 ustawy, lub płatności w ramach budżetu środków europejskich</t>
  </si>
  <si>
    <t>Dotacja celowa otrzymana z tytułu pomocy finansowej udzielanej między jednistkami samorządu terytorialnego na dofinansowanie własnych zadań inwestycyjnych i zakupów inwestycyjnych</t>
  </si>
  <si>
    <t>Dotacje celowe otrzymane z budżetu państwa na inwestycje i zakupy inwestycyjne z zakresu administracji rządowej oraz inne zadania zlecone ustawami realizowane przez powiat</t>
  </si>
  <si>
    <t>Dotacje celowe otrzymane z powiatu na inwestycje i zakupy inwestycyjne realizowane na podstawie porozumień (umów) między jednostkami samorządu terytorialnego</t>
  </si>
  <si>
    <t>Dotacje celowe w ramach programów finansowanych z udziałem środków europejskich oraz środków, o których mowa w art.. 5 ust. 1 pkt 3 oraz ust. 3 pkt 5 i 6 ustawy, lub płatności w ramach budżetu środków europejskich</t>
  </si>
  <si>
    <t>Wpływy ze zwrotów dotacji oraz płatności, w tym wykorzystanych niezgodnie z przeznaczeniem lub wykorzystanych z naruszeniem procedur, o  których mowa w art.. 184 ustawy, pobranych nienależnie lub w nadmiernej wysokości</t>
  </si>
  <si>
    <t>Grzywny i inne kary pieniężne od osób prawnych i innych jednostek organizacyjnych</t>
  </si>
  <si>
    <t>Tabela Nr 13</t>
  </si>
  <si>
    <t xml:space="preserve">Dochody i wydatki </t>
  </si>
  <si>
    <t xml:space="preserve">związane z realizacją zadań wykonywanych na podstawie porozumień (umów) </t>
  </si>
  <si>
    <t>między jednostkami samorządu terytorialnego w 2010 r.</t>
  </si>
  <si>
    <t>Dotacje ogółem</t>
  </si>
  <si>
    <t>z tego</t>
  </si>
  <si>
    <t>z tego:</t>
  </si>
  <si>
    <t>Wynagrodzenia i składki od nich naliczne</t>
  </si>
  <si>
    <t>Wydatki zwiazane z realizacją zadań statutowych</t>
  </si>
  <si>
    <t>Dotacja na zadania bieżące</t>
  </si>
  <si>
    <t>Świadczenia na rzecz osób fizycznych</t>
  </si>
  <si>
    <t>Bezpieczeństwo publiczne i ochr.przeciwpożar.</t>
  </si>
  <si>
    <t>Zarzadzanie kryzysowe</t>
  </si>
  <si>
    <t>Wykonanie wydatków ogółem (6+11)</t>
  </si>
  <si>
    <t>Tabela Nr 15</t>
  </si>
  <si>
    <t>Wydatki w dziale 801 - Oświata i wychowanie, 854 - Edukacyjna opieka wychowawcza</t>
  </si>
  <si>
    <t xml:space="preserve">DZIAŁ 801 </t>
  </si>
  <si>
    <t>DZIAŁ 854</t>
  </si>
  <si>
    <t>SZKOŁY PUBLICZNE</t>
  </si>
  <si>
    <t>80102      Szkoły podstawowe specjalne</t>
  </si>
  <si>
    <t>80111 Gimnazja specjalne</t>
  </si>
  <si>
    <t>80120      Licea ogólnkoształcące</t>
  </si>
  <si>
    <t>80123      Licea profilowane</t>
  </si>
  <si>
    <t>80130      Szkoły zawodowe</t>
  </si>
  <si>
    <t xml:space="preserve">80140       Centra kształcenia praktycznego </t>
  </si>
  <si>
    <t>80144 Inne formy kształcenia  osobno niewymienione</t>
  </si>
  <si>
    <t>80146      Dokszt. i dosk. nauczycieli</t>
  </si>
  <si>
    <t>80148 Stołówki szkolne</t>
  </si>
  <si>
    <t>80195 Pozostała działalność</t>
  </si>
  <si>
    <t>Razem dział 801</t>
  </si>
  <si>
    <t>85406 Poradnie psych-pedagogiczne</t>
  </si>
  <si>
    <t>85407 Placówki wychowania pozaszkolnego</t>
  </si>
  <si>
    <t>85410 Internaty i bursy szkolne</t>
  </si>
  <si>
    <t>85415 Pomoc materialna dla uczniów</t>
  </si>
  <si>
    <t>85419     Ośrodki rewalidacyjno-wychowawcze</t>
  </si>
  <si>
    <t>85420 Młodzieżowe ośrodki wychowawcze</t>
  </si>
  <si>
    <t>85446 Doskonalenie i dokształc. nauczycieli</t>
  </si>
  <si>
    <t>85495     Pozostała działalność</t>
  </si>
  <si>
    <t>Razem dział 854</t>
  </si>
  <si>
    <t xml:space="preserve">Ogółem 801+854 </t>
  </si>
  <si>
    <t>Zespół Szkół Specjalnych w Białogardzie</t>
  </si>
  <si>
    <t>Zespół Szkół Ponadgimnazjalnych B-rd</t>
  </si>
  <si>
    <t>Zespół Szkół Ponadgimnazjalnych w Białogardzie</t>
  </si>
  <si>
    <t>Zespół Szkół Ponadgimnazjalnych w Tych.</t>
  </si>
  <si>
    <t>Zespół Szkół Ponadgimnazjalnych w Tychowie</t>
  </si>
  <si>
    <t>Zespół Szkół Ponadgimnazjalnych w Karlinie</t>
  </si>
  <si>
    <t>Liceum Ogólnokształcace w Białogardzie</t>
  </si>
  <si>
    <t xml:space="preserve">Poradnia Psychologiczno-Pedagogiczna </t>
  </si>
  <si>
    <t>Młodzieżowy Dom Kultury w Białogardzie</t>
  </si>
  <si>
    <t>Młodzieżowy Ośrodek Wychowawczy w Podborsku</t>
  </si>
  <si>
    <t>Starostwo Powiatowe</t>
  </si>
  <si>
    <t>Razem placówki oświatowe publiczne</t>
  </si>
  <si>
    <t>Prywatne Liceum Profilowane "Scholar"-dla młodzieży</t>
  </si>
  <si>
    <t>Prywatne Liceum Profilowane "Scholar" dla Dorosłych</t>
  </si>
  <si>
    <t>Prywatne Liceum Profilowane "Scholar"- dla dorosłych</t>
  </si>
  <si>
    <t>Prywatne Liceum Ogólnokształcące "Scholar" dla Dorosłych</t>
  </si>
  <si>
    <t>Prywatne Liceum Ogólnokształcące "Scholar" dla Dorosłych  po ZSZ</t>
  </si>
  <si>
    <t>Prywatne Liceum Ogólnokształcące dla Dorosłych "Scholar" po ZSZ</t>
  </si>
  <si>
    <t>Prywatne Liceum Ogólnokształcące "Scholar" - dla młodzieży</t>
  </si>
  <si>
    <t xml:space="preserve">Prywatne Studium "Scholar" </t>
  </si>
  <si>
    <t>Niepubliczny Ośrodek Rahabilitacyjno-Edukacyjno-Wychowawczy w Kowalkach</t>
  </si>
  <si>
    <t>Razem placówki oświatowe niepubliczne</t>
  </si>
  <si>
    <t>Razem placówki oświatowe</t>
  </si>
  <si>
    <t>Nazwa zadania inwestycyjnego</t>
  </si>
  <si>
    <t>Jednostka organizacyjna realizująca program lub koordynująca wykonanie programu</t>
  </si>
  <si>
    <t>Okres realizacji</t>
  </si>
  <si>
    <t xml:space="preserve">Łączne nakłady finansowe
</t>
  </si>
  <si>
    <t>Planowane wydatki</t>
  </si>
  <si>
    <t>Przebudowa drogi 1172 Z ul. Piłsudskiego i Zwycięstwa odc. 1,757 km</t>
  </si>
  <si>
    <t>2007-2010</t>
  </si>
  <si>
    <t>Przebudowa drogi powiatowej nr 1182 Z, odcinek od drogi wojewódzkiej nr 167 do miejscowości Doble</t>
  </si>
  <si>
    <t>Zarząd Dróg Powiatowych</t>
  </si>
  <si>
    <t>Rozbudowa i przebudowa budynku gimnazjum specjalnego</t>
  </si>
  <si>
    <t>2008-2011</t>
  </si>
  <si>
    <t>Termomodernizacja budynku Powiatowego Urzędu Pracy</t>
  </si>
  <si>
    <t>Termomodernizacja budynku ZSP w Tychowie</t>
  </si>
  <si>
    <t>2008-2010</t>
  </si>
  <si>
    <t>Termomodernizacja budynku internatu ZSP w Tychowie</t>
  </si>
  <si>
    <t>Termomodernizacja budynku ZSP w Białogardzie</t>
  </si>
  <si>
    <t>Termomodernizacja budynku ZSS w Białogardzie</t>
  </si>
  <si>
    <t>Termomodernizacja budynku LO w Białogardzie</t>
  </si>
  <si>
    <t>Przebudowa i modernizacja szpitala po byłych Jednostkach Armii Radzieckiej na Centrum Rehabilitacji z oddziałami Szpitala Rejonowego w Białogardzie</t>
  </si>
  <si>
    <t>1994-2010</t>
  </si>
  <si>
    <t>2009-2011</t>
  </si>
  <si>
    <t>2009-2010</t>
  </si>
  <si>
    <t>Przebudowa drogi powiatowej nr 1189 Z na ul. 1-go Maja w Białogardzie</t>
  </si>
  <si>
    <t>Adaptacja i remont budynku przy Placu Wolności 16-17 w Białogardzie na siedzibę Starostwa Powiatowego</t>
  </si>
  <si>
    <t>Załącznik Nr 2</t>
  </si>
  <si>
    <t>Limity wydatków                                                                                                                                                                                                         Powiatu Białogardzkiego                                                                                                                                                                                                      na programy finansowane z udziałem środków pochodzących z budżetu Unii Europejskiej oraz niepodlegających zwrotowi środków z pomocy udzielonej przez państwa członkowskie Europejskiego Porozumienia o Wolnym Handlu (EFTA) oraz innych środków pochodzących ze źródeł zagranicznych niepodlegających zwrotowi</t>
  </si>
  <si>
    <t>Nazwa programu</t>
  </si>
  <si>
    <t>Nazwa projektu</t>
  </si>
  <si>
    <t>Jednostka realiyujaca lub koordynująca</t>
  </si>
  <si>
    <t>Lata realizacji projektu</t>
  </si>
  <si>
    <t>Wartość całkowita projektu (w zł)</t>
  </si>
  <si>
    <t>Regionalny Program Operacyjny Województwa Zachodniopomorskiego na lata 2007-2013</t>
  </si>
  <si>
    <t>Przebudowa drogi powiatowej nr 1172Z, ul. Piłsudskiego i Zwycięstwa w Białogardzie wraz z drogami towarzyszącymi gminnymi (Noskowskiego, Nowowiejskiego, Kiepury) łączna długość odcinków - 2,4572 km</t>
  </si>
  <si>
    <t xml:space="preserve">Program Operacyjny Kapitał Ludzki </t>
  </si>
  <si>
    <t>Doradca zawodowy i pośrednik pracy w standardach unijnych</t>
  </si>
  <si>
    <t>Powiatowy Urząd Pracy</t>
  </si>
  <si>
    <t>Rodzina Razem</t>
  </si>
  <si>
    <t>Powiatowe Centrum Pomocy Rodzinie</t>
  </si>
  <si>
    <t>2008-2013</t>
  </si>
  <si>
    <t>Komendy powiatowe policji</t>
  </si>
  <si>
    <t xml:space="preserve">Kultura fizyczna </t>
  </si>
  <si>
    <t>Dotacja celowa otrzymana z tytułu pomocy finansowej udzielanej między jednostkami samorządu terytorialnego na dofinansowanie własnych zadań inwestycyjnych i zakupów inwestycyjnych</t>
  </si>
  <si>
    <t xml:space="preserve">Wykonanie </t>
  </si>
  <si>
    <t>Remont poddasza przy ZSP W Białogardzie</t>
  </si>
  <si>
    <t xml:space="preserve">Termomodernizacja budynku głównego i  dziecięcego Szpitala Powiatowego oraz kolektory słoneczne budynku głównego, dziecięcego i Centrum Rehabilitacji </t>
  </si>
  <si>
    <t>Załącznik nr 1</t>
  </si>
  <si>
    <t>Limity wydatków  
Powiatu Białogardzkiego
na wieloletnie programy inwestycyjne zrealizowane w 2010 roku</t>
  </si>
  <si>
    <t xml:space="preserve">Przebudowa drogi powiatowej nr 1189 Z na ul. 1-go Maja w Białogardzie </t>
  </si>
  <si>
    <t>Program Operacyjny Infrastruktura i Środowisko</t>
  </si>
  <si>
    <t>Rozbudowa i przebudowa budynku gimnazjum specjalnego w Białogardzie</t>
  </si>
  <si>
    <t>Termomodernizacja budynku Zespołu Szkół Specjalnych w Białogardzie</t>
  </si>
  <si>
    <t>Termomodernizacja budynku Liceum Ogólnokształcącego w Białogardzie</t>
  </si>
  <si>
    <t>Termomodernizacja budynku Zespołu Szkół Ponadgimnazjalnych  w Białogardzie</t>
  </si>
  <si>
    <t>Termomodernizacja budynku Zespołu Szkół Ponadgimnazjalnych  w Tychowie</t>
  </si>
  <si>
    <t>Termomodernizacja budynku Powiatowego Urzędu Pracy  w Białogardzie</t>
  </si>
  <si>
    <t xml:space="preserve">zrealizowane w 2010 roku </t>
  </si>
  <si>
    <t>Tabela Nr 14</t>
  </si>
  <si>
    <t>ZOBOWIĄZANIA POWIATU BIAŁOGARDZKIEGO</t>
  </si>
  <si>
    <t>według tytułów dłużnych oraz udzielone poręczenia i gwarancje</t>
  </si>
  <si>
    <t>na dzień 31 grudnia 2010 roku</t>
  </si>
  <si>
    <t>Rodzaj zobowiązania</t>
  </si>
  <si>
    <t>Kwota zobowiązania</t>
  </si>
  <si>
    <t>Udział w ogólnej kwocie zobowiązań</t>
  </si>
  <si>
    <t>Zobowiązania ogółem</t>
  </si>
  <si>
    <t xml:space="preserve">17.887.812,47    </t>
  </si>
  <si>
    <t>-papiery wartościowe</t>
  </si>
  <si>
    <t>-kredyty</t>
  </si>
  <si>
    <t>-pożyczki</t>
  </si>
  <si>
    <t>-wymagalne zobowiązania jednostek</t>
  </si>
  <si>
    <t xml:space="preserve">    </t>
  </si>
  <si>
    <t xml:space="preserve"> w tym z tytułu:</t>
  </si>
  <si>
    <t>dostaw i usług</t>
  </si>
  <si>
    <t>-</t>
  </si>
  <si>
    <t>Poręczenia i gwarancje</t>
  </si>
  <si>
    <t>4.526.400,00</t>
  </si>
  <si>
    <t xml:space="preserve">  </t>
  </si>
  <si>
    <t>Na ogólną kwotę zobowiązań w wysokości 17.887.812,47 zł składają się:</t>
  </si>
  <si>
    <r>
      <t>1.</t>
    </r>
    <r>
      <rPr>
        <sz val="7"/>
        <rFont val="Times New Roman"/>
        <family val="1"/>
        <charset val="238"/>
      </rPr>
      <t xml:space="preserve">      </t>
    </r>
    <r>
      <rPr>
        <sz val="12.5"/>
        <rFont val="Times New Roman"/>
        <family val="1"/>
        <charset val="238"/>
      </rPr>
      <t>kredyt w Banku Gospodarstwa Krajowego w Szczecinie zaciągnięty w wysokości 2.400.000 zł na spłatę wcześniej zaciągniętego kredytu w Banku Millennium SA na pokrycie ujemnego wyniku finansowego Zespołu Opieki Zdrowotnej w Białogardzie – do spłaty pozostała kwota 400.000 zł,</t>
    </r>
  </si>
  <si>
    <r>
      <t>2.</t>
    </r>
    <r>
      <rPr>
        <sz val="7"/>
        <rFont val="Times New Roman"/>
        <family val="1"/>
        <charset val="238"/>
      </rPr>
      <t xml:space="preserve">      </t>
    </r>
    <r>
      <rPr>
        <sz val="12.5"/>
        <rFont val="Times New Roman"/>
        <family val="1"/>
        <charset val="238"/>
      </rPr>
      <t>kredyt z Banku Spółdzielczego w Białogardzie w wysokości 2.000.000 zł na sfinansowanie inwestycji pn. Budowa hali sportowej przy Liceum Ogólnokształcącym w Białogardzie – do spłaty pozostała kwota 1.400.000 zł,</t>
    </r>
  </si>
  <si>
    <r>
      <t>3.</t>
    </r>
    <r>
      <rPr>
        <sz val="7"/>
        <rFont val="Times New Roman"/>
        <family val="1"/>
        <charset val="238"/>
      </rPr>
      <t xml:space="preserve">      </t>
    </r>
    <r>
      <rPr>
        <sz val="12.5"/>
        <rFont val="Times New Roman"/>
        <family val="1"/>
        <charset val="238"/>
      </rPr>
      <t>kredyt z Banku Zachodniego WBK S.A. zaciągnięty w 2008 r. na finansowanie inwestycji p.n. „Budowa zespołu boisk sportowych w ramach programu „Moje boisko – Orlik 2012” przy Zespole Szkół Ponadgimnazjalnych w Białogardzie” wykorzystany w wysokości 550.000 zł – spłata zgodnie z harmonogramem przewidziana w 2013 r.</t>
    </r>
  </si>
  <si>
    <r>
      <t>4.</t>
    </r>
    <r>
      <rPr>
        <sz val="7"/>
        <rFont val="Times New Roman"/>
        <family val="1"/>
        <charset val="238"/>
      </rPr>
      <t xml:space="preserve">      </t>
    </r>
    <r>
      <rPr>
        <sz val="12.5"/>
        <rFont val="Times New Roman"/>
        <family val="1"/>
        <charset val="238"/>
      </rPr>
      <t>kredyt w Banku Gospodarstwa Krajowego w Szczecinie zaciągnięty w 2008 r. w wysokości 845.022 zł na zakup nieruchomości gruntowej zabudowanej budynkiem przy Placu Wolności w Białogardzie – do spłaty pozostała kwota 650.000 zł,</t>
    </r>
  </si>
  <si>
    <r>
      <t>5.</t>
    </r>
    <r>
      <rPr>
        <sz val="7"/>
        <rFont val="Times New Roman"/>
        <family val="1"/>
        <charset val="238"/>
      </rPr>
      <t xml:space="preserve">      </t>
    </r>
    <r>
      <rPr>
        <sz val="12.5"/>
        <rFont val="Times New Roman"/>
        <family val="1"/>
        <charset val="238"/>
      </rPr>
      <t>kredyt w Banku Gospodarstwa Krajowego w Szczecinie zaciągnięty w 2009 r. w wysokości 1.305.276 zł na inwestycję drogową pn. „Przebudowa drogi powiatowej nr 0257 Z Gościno – Karlino I etap odcinek Pobłocie Wielkie – Kowańcz”- do spłaty pozostała kwota 1.105.276 zł,</t>
    </r>
  </si>
  <si>
    <r>
      <t>6.</t>
    </r>
    <r>
      <rPr>
        <sz val="7"/>
        <rFont val="Times New Roman"/>
        <family val="1"/>
        <charset val="238"/>
      </rPr>
      <t xml:space="preserve">      </t>
    </r>
    <r>
      <rPr>
        <sz val="12.5"/>
        <rFont val="Times New Roman"/>
        <family val="1"/>
        <charset val="238"/>
      </rPr>
      <t>kredyt w Banku Gospodarstwa Krajowego w Szczecinie ze środków Europejskiego Banku Inwestycyjnego zaciągnięty w 2009 r. w wysokości 1.289.158,24 zł na kontynuację inwestycji pn. „Przebudowa i modernizacja szpitala po byłych Jednostkach Armii Radzieckiej na Centrum Rehabilitacji z oddziałami Szpitala Rejonowego w Białogardzie”; wartość kredytu po uzyskanym grancie 1.228.504.86 zł - spłata od 2011 roku,</t>
    </r>
  </si>
  <si>
    <r>
      <t>7.</t>
    </r>
    <r>
      <rPr>
        <sz val="7"/>
        <rFont val="Times New Roman"/>
        <family val="1"/>
        <charset val="238"/>
      </rPr>
      <t xml:space="preserve">      </t>
    </r>
    <r>
      <rPr>
        <sz val="12.5"/>
        <rFont val="Times New Roman"/>
        <family val="1"/>
        <charset val="238"/>
      </rPr>
      <t>kredyt w Banku Ochrony Środowiska zaciągnięty w 2009 r. w wysokości 286.000 zł na termomodernizację bloku damskiego Domu Pomocy Społecznej w Białogardzie – spłata w 2014 roku,</t>
    </r>
  </si>
  <si>
    <r>
      <t>8.</t>
    </r>
    <r>
      <rPr>
        <sz val="7"/>
        <rFont val="Times New Roman"/>
        <family val="1"/>
        <charset val="238"/>
      </rPr>
      <t xml:space="preserve">      </t>
    </r>
    <r>
      <rPr>
        <sz val="12.5"/>
        <rFont val="Times New Roman"/>
        <family val="1"/>
        <charset val="238"/>
      </rPr>
      <t>kredyt w Banku Millenium zaciągnięty w 2010 roku na adaptację budynku przy Placu Wolności na siedzibę Starostwa w wysokości 2.000.000 zł- spłata począwszy od 2012 roku,</t>
    </r>
  </si>
  <si>
    <r>
      <t>9.</t>
    </r>
    <r>
      <rPr>
        <sz val="7"/>
        <rFont val="Times New Roman"/>
        <family val="1"/>
        <charset val="238"/>
      </rPr>
      <t xml:space="preserve">      </t>
    </r>
    <r>
      <rPr>
        <sz val="12.5"/>
        <rFont val="Times New Roman"/>
        <family val="1"/>
        <charset val="238"/>
      </rPr>
      <t>kredyt w Banku Millenium zaciągnięty w 2010 roku na modernizację drogi do Dobla w wysokości 886.818,44 zł- spłata począwszy od 2014 roku,</t>
    </r>
  </si>
  <si>
    <r>
      <t>10.</t>
    </r>
    <r>
      <rPr>
        <sz val="7"/>
        <rFont val="Times New Roman"/>
        <family val="1"/>
        <charset val="238"/>
      </rPr>
      <t xml:space="preserve"> </t>
    </r>
    <r>
      <rPr>
        <sz val="12.5"/>
        <rFont val="Times New Roman"/>
        <family val="1"/>
        <charset val="238"/>
      </rPr>
      <t>kredyt w Banku Gospodarstwa Krajowego zaciągnięty w 2010 roku na modernizację drogi Piłsudskiego – Zwycięstwa w wysokości 1.024.802 zł- spłata począwszy od 2014 roku,</t>
    </r>
  </si>
  <si>
    <r>
      <t>11.</t>
    </r>
    <r>
      <rPr>
        <sz val="7"/>
        <rFont val="Times New Roman"/>
        <family val="1"/>
        <charset val="238"/>
      </rPr>
      <t xml:space="preserve"> </t>
    </r>
    <r>
      <rPr>
        <sz val="12.5"/>
        <rFont val="Times New Roman"/>
        <family val="1"/>
        <charset val="238"/>
      </rPr>
      <t>kredyty w Banku Ochrony Środowiska zaciągnięte w 2010 roku na termomodernizację obiektów użyteczności publicznej w wysokości 981.285,42 zł- spłata począwszy od 2012 roku,</t>
    </r>
  </si>
  <si>
    <r>
      <t>12.</t>
    </r>
    <r>
      <rPr>
        <sz val="7"/>
        <rFont val="Times New Roman"/>
        <family val="1"/>
        <charset val="238"/>
      </rPr>
      <t xml:space="preserve"> </t>
    </r>
    <r>
      <rPr>
        <sz val="12.5"/>
        <rFont val="Times New Roman"/>
        <family val="1"/>
        <charset val="238"/>
      </rPr>
      <t>kredyt w Banku Gospodarstwa Krajowego zaciągnięty w 2010 roku na modernizację drogi 1-go Maja w Białogardzie  w wysokości 923.449 zł- spłata począwszy od 2015 roku,</t>
    </r>
  </si>
  <si>
    <r>
      <t>13.</t>
    </r>
    <r>
      <rPr>
        <sz val="7"/>
        <rFont val="Times New Roman"/>
        <family val="1"/>
        <charset val="238"/>
      </rPr>
      <t xml:space="preserve"> </t>
    </r>
    <r>
      <rPr>
        <sz val="12.5"/>
        <rFont val="Times New Roman"/>
        <family val="1"/>
        <charset val="238"/>
      </rPr>
      <t>kredyt w Banku Gospodarstwa Krajowego zaciągnięty w 2010 roku na planowany deficyt w wysokości 6.451.676,75 zł- spłata począwszy od 2011 roku.</t>
    </r>
  </si>
  <si>
    <t>Na ogólną kwotę poręczeń i gwarancji w wysokości 4.526.400 zł składają się:</t>
  </si>
  <si>
    <r>
      <t>1.</t>
    </r>
    <r>
      <rPr>
        <sz val="7"/>
        <rFont val="Times New Roman"/>
        <family val="1"/>
        <charset val="238"/>
      </rPr>
      <t xml:space="preserve">          </t>
    </r>
    <r>
      <rPr>
        <sz val="12.5"/>
        <rFont val="Times New Roman"/>
        <family val="1"/>
        <charset val="238"/>
      </rPr>
      <t>poręczenie kredytu w rachunku bieżącym zaciągniętego przez Szpital Powiatowy w Białogardzie na kwotę 1.650.000 zł,</t>
    </r>
  </si>
  <si>
    <r>
      <t>2.</t>
    </r>
    <r>
      <rPr>
        <sz val="7"/>
        <rFont val="Times New Roman"/>
        <family val="1"/>
        <charset val="238"/>
      </rPr>
      <t xml:space="preserve">          </t>
    </r>
    <r>
      <rPr>
        <sz val="12.5"/>
        <rFont val="Times New Roman"/>
        <family val="1"/>
        <charset val="238"/>
      </rPr>
      <t>poręczenie kredytu długoterminowego zaciągniętego przez Szpital Powiatowy w Białogardzie na kwotę 2.800.000 zł,</t>
    </r>
  </si>
  <si>
    <r>
      <t>3.</t>
    </r>
    <r>
      <rPr>
        <sz val="7"/>
        <rFont val="Times New Roman"/>
        <family val="1"/>
        <charset val="238"/>
      </rPr>
      <t xml:space="preserve">          </t>
    </r>
    <r>
      <rPr>
        <sz val="12.5"/>
        <rFont val="Times New Roman"/>
        <family val="1"/>
        <charset val="238"/>
      </rPr>
      <t>poręczenie kredytu dla Związku Celowego Powiatów Województwa Zachodniopomorskiego w wysokości 76.400 zł.</t>
    </r>
  </si>
  <si>
    <t>Załącznik nr 3</t>
  </si>
  <si>
    <t xml:space="preserve">Zmiany w planie wydatków na realizację programów finansowanych z udziałem środków pochodzacych z budżetu Unii Europejskiej oraz pochodzace ze źródeł zagranicznych niepodlegające zwrotowi </t>
  </si>
  <si>
    <t>dokonane w 2010 roku</t>
  </si>
  <si>
    <t>Uchwała Rady Nr XLVI/239/09</t>
  </si>
  <si>
    <t>Uchwała Rady Nr XLVII/243/10</t>
  </si>
  <si>
    <t>Uchwała Rady Nr XLVIII/252/10</t>
  </si>
  <si>
    <t>Uchwała Rady Nr XLIX/258/10</t>
  </si>
  <si>
    <t>Uchwała Racy Nr LI/266/10</t>
  </si>
  <si>
    <t>Uchwała Rady Nr LIII/280/10</t>
  </si>
  <si>
    <t>Uchwała Rady Nr LIV/286/10</t>
  </si>
  <si>
    <t>Uchwała Rady Nr LVI/298/10</t>
  </si>
  <si>
    <t>Uchwała Rady Nr LVII/305/10</t>
  </si>
  <si>
    <t>Uchwała Rady Nr III/22/10</t>
  </si>
  <si>
    <t>Plan na 31.12.2010</t>
  </si>
  <si>
    <t>1.01.2010 r</t>
  </si>
  <si>
    <t>22.01.2010 r</t>
  </si>
  <si>
    <t>26.02.2010 r</t>
  </si>
  <si>
    <t>26.03.2010 r</t>
  </si>
  <si>
    <t>23.04.2010 r</t>
  </si>
  <si>
    <t>30.06.2010 r</t>
  </si>
  <si>
    <t>27.08.2010 r</t>
  </si>
  <si>
    <t>24.09.2010 r</t>
  </si>
  <si>
    <t>29.10.2010 r</t>
  </si>
  <si>
    <t>30.12.2010 r</t>
  </si>
</sst>
</file>

<file path=xl/styles.xml><?xml version="1.0" encoding="utf-8"?>
<styleSheet xmlns="http://schemas.openxmlformats.org/spreadsheetml/2006/main">
  <numFmts count="7">
    <numFmt numFmtId="43" formatCode="_-* #,##0.00\ _z_ł_-;\-* #,##0.00\ _z_ł_-;_-* &quot;-&quot;??\ _z_ł_-;_-@_-"/>
    <numFmt numFmtId="164" formatCode="_-* #,##0.0\ _z_ł_-;\-* #,##0.0\ _z_ł_-;_-* &quot;-&quot;??\ _z_ł_-;_-@_-"/>
    <numFmt numFmtId="165" formatCode="_-* #,##0\ _z_ł_-;\-* #,##0\ _z_ł_-;_-* &quot;-&quot;??\ _z_ł_-;_-@_-"/>
    <numFmt numFmtId="166" formatCode="0.0"/>
    <numFmt numFmtId="167" formatCode="#,##0.0_ ;\-#,##0.0\ "/>
    <numFmt numFmtId="168" formatCode="#,##0.00_ ;\-#,##0.00\ "/>
    <numFmt numFmtId="169" formatCode="#,##0.0"/>
  </numFmts>
  <fonts count="66">
    <font>
      <sz val="10"/>
      <name val="Arial CE"/>
      <charset val="238"/>
    </font>
    <font>
      <sz val="10"/>
      <name val="Arial CE"/>
      <charset val="238"/>
    </font>
    <font>
      <sz val="9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 CE"/>
      <family val="2"/>
      <charset val="238"/>
    </font>
    <font>
      <b/>
      <sz val="9"/>
      <name val="Arial CE"/>
      <family val="2"/>
      <charset val="238"/>
    </font>
    <font>
      <sz val="10"/>
      <name val="Arial CE"/>
      <family val="2"/>
      <charset val="238"/>
    </font>
    <font>
      <sz val="11"/>
      <name val="Times New Roman CE"/>
      <family val="1"/>
      <charset val="238"/>
    </font>
    <font>
      <b/>
      <sz val="10"/>
      <name val="Arial CE"/>
      <charset val="238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Times New (W1)"/>
      <family val="1"/>
    </font>
    <font>
      <sz val="8"/>
      <name val="Times New (W1)"/>
      <family val="1"/>
    </font>
    <font>
      <b/>
      <sz val="10"/>
      <name val="Times New (W1)"/>
      <family val="1"/>
    </font>
    <font>
      <b/>
      <sz val="9"/>
      <name val="Times New Roman"/>
      <family val="1"/>
    </font>
    <font>
      <sz val="8"/>
      <name val="Times New Roman"/>
      <family val="1"/>
    </font>
    <font>
      <sz val="9"/>
      <name val="Times New Roman"/>
      <family val="1"/>
    </font>
    <font>
      <sz val="9"/>
      <name val="Times New (W1)"/>
      <family val="1"/>
    </font>
    <font>
      <sz val="9"/>
      <name val="Arial CE"/>
      <charset val="238"/>
    </font>
    <font>
      <sz val="8"/>
      <name val="Arial CE"/>
      <charset val="238"/>
    </font>
    <font>
      <b/>
      <sz val="9"/>
      <name val="Times New (W1)"/>
      <family val="1"/>
    </font>
    <font>
      <sz val="7"/>
      <name val="Times New (W1)"/>
      <family val="1"/>
    </font>
    <font>
      <b/>
      <sz val="12"/>
      <name val="Times New (W1)"/>
      <family val="1"/>
    </font>
    <font>
      <sz val="12"/>
      <name val="Times New (W1)"/>
      <family val="1"/>
    </font>
    <font>
      <b/>
      <sz val="8"/>
      <name val="Times New (W1)"/>
      <family val="1"/>
    </font>
    <font>
      <sz val="7"/>
      <name val="Arial CE"/>
      <charset val="238"/>
    </font>
    <font>
      <sz val="7"/>
      <name val="Times New Roman"/>
      <family val="1"/>
    </font>
    <font>
      <b/>
      <sz val="8"/>
      <name val="Times New Roman"/>
      <family val="1"/>
    </font>
    <font>
      <sz val="8"/>
      <name val="Times New Roman"/>
      <family val="1"/>
      <charset val="238"/>
    </font>
    <font>
      <b/>
      <sz val="11"/>
      <name val="Times New Roman"/>
      <family val="1"/>
    </font>
    <font>
      <sz val="6"/>
      <name val="Times New (W1)"/>
      <family val="1"/>
    </font>
    <font>
      <i/>
      <u/>
      <sz val="8"/>
      <name val="Times New (W1)"/>
      <family val="1"/>
    </font>
    <font>
      <b/>
      <sz val="8"/>
      <name val="Times New Roman"/>
      <family val="1"/>
      <charset val="238"/>
    </font>
    <font>
      <b/>
      <sz val="7"/>
      <name val="Times New Roman"/>
      <family val="1"/>
    </font>
    <font>
      <b/>
      <sz val="7"/>
      <name val="Times New (W1)"/>
      <family val="1"/>
    </font>
    <font>
      <b/>
      <sz val="12"/>
      <name val="Times New Roman"/>
      <family val="1"/>
    </font>
    <font>
      <sz val="6"/>
      <name val="Times New Roman"/>
      <family val="1"/>
    </font>
    <font>
      <sz val="10"/>
      <color indexed="10"/>
      <name val="Arial"/>
      <family val="2"/>
      <charset val="238"/>
    </font>
    <font>
      <sz val="11"/>
      <name val="Calibri"/>
      <family val="2"/>
      <charset val="238"/>
    </font>
    <font>
      <sz val="11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10"/>
      <name val="Times New Roman"/>
      <family val="1"/>
      <charset val="238"/>
    </font>
    <font>
      <sz val="6"/>
      <name val="Times New Roman"/>
      <family val="1"/>
      <charset val="238"/>
    </font>
    <font>
      <sz val="10"/>
      <name val="Times New Roman"/>
      <family val="1"/>
      <charset val="238"/>
    </font>
    <font>
      <sz val="7"/>
      <name val="Times New Roman"/>
      <family val="1"/>
      <charset val="238"/>
    </font>
    <font>
      <b/>
      <sz val="7"/>
      <name val="Times New Roman"/>
      <family val="1"/>
      <charset val="238"/>
    </font>
    <font>
      <b/>
      <sz val="9"/>
      <name val="Arial CE"/>
      <charset val="238"/>
    </font>
    <font>
      <sz val="9"/>
      <name val="Times New Roman"/>
      <family val="1"/>
      <charset val="238"/>
    </font>
    <font>
      <sz val="11"/>
      <color theme="1"/>
      <name val="Times New (W1)"/>
      <family val="1"/>
    </font>
    <font>
      <sz val="8"/>
      <color theme="1"/>
      <name val="Times New (W1)"/>
      <family val="1"/>
    </font>
    <font>
      <sz val="10"/>
      <color theme="1"/>
      <name val="Times New (W1)"/>
      <family val="1"/>
    </font>
    <font>
      <sz val="9"/>
      <color theme="1"/>
      <name val="Times New (W1)"/>
      <family val="1"/>
    </font>
    <font>
      <b/>
      <sz val="10"/>
      <color theme="1"/>
      <name val="Times New (W1)"/>
      <family val="1"/>
    </font>
    <font>
      <sz val="7"/>
      <color theme="1"/>
      <name val="Times New (W1)"/>
      <family val="1"/>
    </font>
    <font>
      <b/>
      <sz val="10"/>
      <color theme="1"/>
      <name val="Times New (W1)"/>
      <charset val="238"/>
    </font>
    <font>
      <sz val="12"/>
      <name val="Times New Roman"/>
      <family val="1"/>
      <charset val="238"/>
    </font>
    <font>
      <sz val="12"/>
      <color rgb="FF000000"/>
      <name val="Arial"/>
      <family val="2"/>
      <charset val="238"/>
    </font>
    <font>
      <sz val="9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2.5"/>
      <name val="Times New Roman"/>
      <family val="1"/>
      <charset val="238"/>
    </font>
    <font>
      <sz val="13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9"/>
      <color theme="1"/>
      <name val="Times New Roman"/>
      <family val="1"/>
      <charset val="238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7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64" fillId="0" borderId="0"/>
  </cellStyleXfs>
  <cellXfs count="727">
    <xf numFmtId="0" fontId="0" fillId="0" borderId="0" xfId="0"/>
    <xf numFmtId="0" fontId="2" fillId="0" borderId="0" xfId="0" applyFont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/>
    <xf numFmtId="0" fontId="6" fillId="0" borderId="0" xfId="0" applyFont="1"/>
    <xf numFmtId="0" fontId="4" fillId="0" borderId="0" xfId="0" applyFont="1"/>
    <xf numFmtId="0" fontId="2" fillId="0" borderId="1" xfId="0" applyFont="1" applyBorder="1" applyAlignment="1">
      <alignment horizontal="left" vertical="top" wrapText="1"/>
    </xf>
    <xf numFmtId="165" fontId="2" fillId="0" borderId="1" xfId="1" applyNumberFormat="1" applyFont="1" applyBorder="1"/>
    <xf numFmtId="0" fontId="2" fillId="0" borderId="1" xfId="0" applyFont="1" applyBorder="1"/>
    <xf numFmtId="0" fontId="4" fillId="0" borderId="1" xfId="0" applyFont="1" applyBorder="1" applyAlignment="1">
      <alignment wrapText="1"/>
    </xf>
    <xf numFmtId="49" fontId="2" fillId="0" borderId="1" xfId="0" applyNumberFormat="1" applyFont="1" applyBorder="1"/>
    <xf numFmtId="0" fontId="5" fillId="0" borderId="1" xfId="0" applyFont="1" applyBorder="1" applyAlignment="1">
      <alignment horizontal="left"/>
    </xf>
    <xf numFmtId="165" fontId="5" fillId="0" borderId="1" xfId="0" applyNumberFormat="1" applyFont="1" applyBorder="1" applyAlignment="1">
      <alignment horizontal="center"/>
    </xf>
    <xf numFmtId="165" fontId="2" fillId="0" borderId="1" xfId="1" applyNumberFormat="1" applyFont="1" applyBorder="1" applyAlignment="1">
      <alignment horizontal="left"/>
    </xf>
    <xf numFmtId="0" fontId="5" fillId="0" borderId="1" xfId="0" applyFont="1" applyBorder="1" applyAlignment="1">
      <alignment horizontal="left" vertical="top" wrapText="1"/>
    </xf>
    <xf numFmtId="165" fontId="5" fillId="0" borderId="1" xfId="1" applyNumberFormat="1" applyFont="1" applyBorder="1"/>
    <xf numFmtId="0" fontId="2" fillId="0" borderId="3" xfId="0" quotePrefix="1" applyFont="1" applyBorder="1" applyAlignment="1">
      <alignment horizontal="center"/>
    </xf>
    <xf numFmtId="165" fontId="5" fillId="0" borderId="1" xfId="1" applyNumberFormat="1" applyFont="1" applyBorder="1" applyAlignment="1">
      <alignment horizontal="left"/>
    </xf>
    <xf numFmtId="0" fontId="2" fillId="0" borderId="3" xfId="0" applyFont="1" applyBorder="1" applyAlignment="1">
      <alignment horizontal="center"/>
    </xf>
    <xf numFmtId="165" fontId="2" fillId="0" borderId="1" xfId="1" applyNumberFormat="1" applyFont="1" applyFill="1" applyBorder="1"/>
    <xf numFmtId="0" fontId="5" fillId="0" borderId="1" xfId="0" applyFont="1" applyBorder="1"/>
    <xf numFmtId="0" fontId="2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165" fontId="5" fillId="0" borderId="1" xfId="1" applyNumberFormat="1" applyFont="1" applyBorder="1" applyAlignment="1">
      <alignment horizontal="center"/>
    </xf>
    <xf numFmtId="165" fontId="3" fillId="0" borderId="0" xfId="0" applyNumberFormat="1" applyFont="1" applyAlignment="1">
      <alignment horizontal="center"/>
    </xf>
    <xf numFmtId="165" fontId="0" fillId="0" borderId="0" xfId="0" applyNumberFormat="1"/>
    <xf numFmtId="165" fontId="3" fillId="0" borderId="0" xfId="0" applyNumberFormat="1" applyFont="1"/>
    <xf numFmtId="165" fontId="5" fillId="0" borderId="0" xfId="1" applyNumberFormat="1" applyFont="1"/>
    <xf numFmtId="165" fontId="6" fillId="0" borderId="0" xfId="0" applyNumberFormat="1" applyFont="1"/>
    <xf numFmtId="165" fontId="2" fillId="0" borderId="2" xfId="1" applyNumberFormat="1" applyFont="1" applyBorder="1"/>
    <xf numFmtId="165" fontId="2" fillId="0" borderId="1" xfId="1" applyNumberFormat="1" applyFont="1" applyBorder="1" applyAlignment="1">
      <alignment horizontal="center"/>
    </xf>
    <xf numFmtId="0" fontId="2" fillId="0" borderId="1" xfId="0" applyFont="1" applyBorder="1" applyAlignment="1">
      <alignment vertical="center"/>
    </xf>
    <xf numFmtId="49" fontId="0" fillId="0" borderId="0" xfId="0" applyNumberFormat="1" applyAlignment="1">
      <alignment horizontal="center"/>
    </xf>
    <xf numFmtId="0" fontId="0" fillId="0" borderId="0" xfId="0" applyFill="1"/>
    <xf numFmtId="43" fontId="2" fillId="0" borderId="1" xfId="1" applyNumberFormat="1" applyFont="1" applyBorder="1" applyAlignment="1">
      <alignment horizontal="center"/>
    </xf>
    <xf numFmtId="43" fontId="0" fillId="0" borderId="0" xfId="0" applyNumberFormat="1"/>
    <xf numFmtId="165" fontId="8" fillId="0" borderId="0" xfId="0" applyNumberFormat="1" applyFont="1"/>
    <xf numFmtId="0" fontId="8" fillId="0" borderId="0" xfId="0" applyFont="1"/>
    <xf numFmtId="0" fontId="9" fillId="0" borderId="0" xfId="0" applyFont="1"/>
    <xf numFmtId="0" fontId="9" fillId="0" borderId="0" xfId="0" applyFont="1" applyFill="1"/>
    <xf numFmtId="0" fontId="11" fillId="0" borderId="0" xfId="0" applyFont="1"/>
    <xf numFmtId="0" fontId="12" fillId="0" borderId="1" xfId="0" applyFont="1" applyBorder="1" applyAlignment="1">
      <alignment horizontal="center"/>
    </xf>
    <xf numFmtId="0" fontId="11" fillId="0" borderId="1" xfId="0" applyFont="1" applyBorder="1" applyAlignment="1">
      <alignment wrapText="1"/>
    </xf>
    <xf numFmtId="166" fontId="11" fillId="0" borderId="1" xfId="0" applyNumberFormat="1" applyFont="1" applyBorder="1"/>
    <xf numFmtId="165" fontId="5" fillId="0" borderId="0" xfId="0" applyNumberFormat="1" applyFont="1"/>
    <xf numFmtId="0" fontId="5" fillId="0" borderId="0" xfId="0" applyFont="1"/>
    <xf numFmtId="0" fontId="15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Font="1"/>
    <xf numFmtId="0" fontId="9" fillId="0" borderId="0" xfId="0" applyFont="1" applyAlignment="1"/>
    <xf numFmtId="165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165" fontId="18" fillId="0" borderId="0" xfId="0" applyNumberFormat="1" applyFont="1"/>
    <xf numFmtId="0" fontId="18" fillId="0" borderId="0" xfId="0" applyFont="1"/>
    <xf numFmtId="0" fontId="15" fillId="0" borderId="6" xfId="0" applyFont="1" applyBorder="1"/>
    <xf numFmtId="0" fontId="15" fillId="0" borderId="3" xfId="0" applyFont="1" applyBorder="1"/>
    <xf numFmtId="0" fontId="17" fillId="0" borderId="1" xfId="0" quotePrefix="1" applyFont="1" applyBorder="1" applyAlignment="1">
      <alignment horizontal="center" vertical="center"/>
    </xf>
    <xf numFmtId="0" fontId="17" fillId="0" borderId="1" xfId="0" applyFont="1" applyBorder="1"/>
    <xf numFmtId="0" fontId="17" fillId="0" borderId="1" xfId="0" applyFont="1" applyBorder="1" applyAlignment="1">
      <alignment horizontal="center" vertical="center"/>
    </xf>
    <xf numFmtId="0" fontId="20" fillId="0" borderId="1" xfId="0" applyFont="1" applyBorder="1"/>
    <xf numFmtId="0" fontId="12" fillId="0" borderId="0" xfId="0" applyFont="1"/>
    <xf numFmtId="0" fontId="20" fillId="0" borderId="1" xfId="0" applyFont="1" applyBorder="1" applyAlignment="1">
      <alignment horizontal="center"/>
    </xf>
    <xf numFmtId="0" fontId="17" fillId="0" borderId="0" xfId="0" applyFont="1"/>
    <xf numFmtId="0" fontId="17" fillId="0" borderId="1" xfId="0" applyFont="1" applyBorder="1" applyAlignment="1">
      <alignment horizontal="center"/>
    </xf>
    <xf numFmtId="0" fontId="17" fillId="0" borderId="1" xfId="0" quotePrefix="1" applyFont="1" applyBorder="1" applyAlignment="1">
      <alignment horizontal="center"/>
    </xf>
    <xf numFmtId="0" fontId="15" fillId="0" borderId="1" xfId="0" applyFont="1" applyFill="1" applyBorder="1" applyAlignment="1">
      <alignment horizontal="center"/>
    </xf>
    <xf numFmtId="0" fontId="19" fillId="0" borderId="0" xfId="0" applyFont="1"/>
    <xf numFmtId="0" fontId="20" fillId="0" borderId="1" xfId="0" quotePrefix="1" applyFont="1" applyBorder="1" applyAlignment="1">
      <alignment horizontal="center"/>
    </xf>
    <xf numFmtId="0" fontId="20" fillId="0" borderId="1" xfId="0" applyFont="1" applyBorder="1" applyAlignment="1">
      <alignment horizontal="left"/>
    </xf>
    <xf numFmtId="0" fontId="20" fillId="0" borderId="1" xfId="0" quotePrefix="1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top" wrapText="1"/>
    </xf>
    <xf numFmtId="0" fontId="20" fillId="0" borderId="2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/>
    </xf>
    <xf numFmtId="0" fontId="24" fillId="0" borderId="0" xfId="0" applyFont="1"/>
    <xf numFmtId="0" fontId="20" fillId="0" borderId="0" xfId="0" applyFont="1"/>
    <xf numFmtId="0" fontId="20" fillId="0" borderId="2" xfId="0" quotePrefix="1" applyFont="1" applyBorder="1" applyAlignment="1">
      <alignment horizontal="center"/>
    </xf>
    <xf numFmtId="0" fontId="17" fillId="0" borderId="3" xfId="0" quotePrefix="1" applyFont="1" applyBorder="1" applyAlignment="1">
      <alignment horizontal="center"/>
    </xf>
    <xf numFmtId="0" fontId="17" fillId="0" borderId="3" xfId="0" applyFont="1" applyBorder="1" applyAlignment="1">
      <alignment horizontal="center"/>
    </xf>
    <xf numFmtId="0" fontId="17" fillId="0" borderId="3" xfId="0" quotePrefix="1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43" fontId="11" fillId="0" borderId="1" xfId="1" applyFont="1" applyBorder="1"/>
    <xf numFmtId="43" fontId="13" fillId="0" borderId="1" xfId="0" applyNumberFormat="1" applyFont="1" applyBorder="1"/>
    <xf numFmtId="43" fontId="11" fillId="0" borderId="1" xfId="1" applyFont="1" applyFill="1" applyBorder="1"/>
    <xf numFmtId="165" fontId="2" fillId="0" borderId="0" xfId="1" applyNumberFormat="1" applyFont="1" applyBorder="1"/>
    <xf numFmtId="0" fontId="5" fillId="0" borderId="3" xfId="0" quotePrefix="1" applyFont="1" applyBorder="1" applyAlignment="1">
      <alignment horizontal="center"/>
    </xf>
    <xf numFmtId="0" fontId="5" fillId="0" borderId="0" xfId="0" quotePrefix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center" vertical="center"/>
    </xf>
    <xf numFmtId="0" fontId="0" fillId="0" borderId="0" xfId="0" applyBorder="1"/>
    <xf numFmtId="0" fontId="12" fillId="0" borderId="1" xfId="0" applyFont="1" applyBorder="1"/>
    <xf numFmtId="0" fontId="12" fillId="0" borderId="1" xfId="0" applyFont="1" applyBorder="1" applyAlignment="1">
      <alignment wrapText="1"/>
    </xf>
    <xf numFmtId="0" fontId="12" fillId="0" borderId="1" xfId="0" quotePrefix="1" applyFont="1" applyFill="1" applyBorder="1" applyAlignment="1">
      <alignment horizontal="center" vertical="center"/>
    </xf>
    <xf numFmtId="0" fontId="11" fillId="0" borderId="0" xfId="0" applyFont="1" applyAlignment="1">
      <alignment horizontal="right"/>
    </xf>
    <xf numFmtId="0" fontId="11" fillId="0" borderId="0" xfId="0" applyFont="1"/>
    <xf numFmtId="0" fontId="11" fillId="0" borderId="0" xfId="0" applyFont="1" applyAlignment="1">
      <alignment horizontal="right"/>
    </xf>
    <xf numFmtId="0" fontId="11" fillId="0" borderId="0" xfId="0" applyFont="1"/>
    <xf numFmtId="0" fontId="13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25" fillId="0" borderId="0" xfId="0" applyFont="1"/>
    <xf numFmtId="0" fontId="26" fillId="0" borderId="0" xfId="0" applyFont="1"/>
    <xf numFmtId="0" fontId="26" fillId="0" borderId="1" xfId="0" applyFont="1" applyBorder="1" applyAlignment="1">
      <alignment horizontal="center"/>
    </xf>
    <xf numFmtId="0" fontId="15" fillId="0" borderId="1" xfId="0" quotePrefix="1" applyFont="1" applyBorder="1" applyAlignment="1">
      <alignment horizontal="center"/>
    </xf>
    <xf numFmtId="0" fontId="15" fillId="0" borderId="1" xfId="0" applyFont="1" applyBorder="1" applyAlignment="1">
      <alignment horizontal="left" vertical="top" wrapText="1"/>
    </xf>
    <xf numFmtId="0" fontId="15" fillId="0" borderId="4" xfId="0" applyFont="1" applyBorder="1" applyAlignment="1">
      <alignment horizontal="center"/>
    </xf>
    <xf numFmtId="0" fontId="28" fillId="0" borderId="1" xfId="0" applyFont="1" applyBorder="1" applyAlignment="1">
      <alignment horizontal="left" vertical="top" wrapText="1"/>
    </xf>
    <xf numFmtId="0" fontId="15" fillId="0" borderId="1" xfId="0" applyFont="1" applyBorder="1"/>
    <xf numFmtId="49" fontId="15" fillId="0" borderId="1" xfId="0" applyNumberFormat="1" applyFont="1" applyBorder="1"/>
    <xf numFmtId="0" fontId="12" fillId="0" borderId="1" xfId="0" applyFont="1" applyBorder="1" applyAlignment="1">
      <alignment horizontal="left" vertical="top" wrapText="1"/>
    </xf>
    <xf numFmtId="0" fontId="15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12" fillId="0" borderId="0" xfId="0" applyFont="1" applyAlignment="1">
      <alignment horizontal="right"/>
    </xf>
    <xf numFmtId="0" fontId="11" fillId="3" borderId="1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30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166" fontId="13" fillId="0" borderId="1" xfId="0" applyNumberFormat="1" applyFont="1" applyBorder="1"/>
    <xf numFmtId="0" fontId="11" fillId="0" borderId="1" xfId="0" applyFont="1" applyBorder="1" applyAlignment="1">
      <alignment horizontal="center" vertical="center"/>
    </xf>
    <xf numFmtId="0" fontId="31" fillId="0" borderId="0" xfId="0" applyFont="1" applyAlignment="1">
      <alignment horizontal="right"/>
    </xf>
    <xf numFmtId="0" fontId="30" fillId="0" borderId="1" xfId="0" applyFont="1" applyFill="1" applyBorder="1" applyAlignment="1">
      <alignment horizontal="center" vertical="center"/>
    </xf>
    <xf numFmtId="0" fontId="11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9" fillId="0" borderId="0" xfId="0" applyFont="1" applyAlignment="1">
      <alignment horizontal="right"/>
    </xf>
    <xf numFmtId="43" fontId="13" fillId="0" borderId="1" xfId="1" applyFont="1" applyBorder="1"/>
    <xf numFmtId="0" fontId="15" fillId="0" borderId="3" xfId="0" quotePrefix="1" applyFont="1" applyBorder="1" applyAlignment="1">
      <alignment horizontal="center"/>
    </xf>
    <xf numFmtId="165" fontId="27" fillId="0" borderId="1" xfId="1" applyNumberFormat="1" applyFont="1" applyBorder="1" applyAlignment="1">
      <alignment vertical="top"/>
    </xf>
    <xf numFmtId="165" fontId="15" fillId="0" borderId="1" xfId="1" applyNumberFormat="1" applyFont="1" applyBorder="1" applyAlignment="1">
      <alignment vertical="top"/>
    </xf>
    <xf numFmtId="0" fontId="11" fillId="0" borderId="1" xfId="0" applyFont="1" applyBorder="1"/>
    <xf numFmtId="0" fontId="13" fillId="0" borderId="1" xfId="0" applyFont="1" applyBorder="1"/>
    <xf numFmtId="165" fontId="13" fillId="0" borderId="1" xfId="1" applyNumberFormat="1" applyFont="1" applyBorder="1"/>
    <xf numFmtId="0" fontId="11" fillId="0" borderId="1" xfId="0" quotePrefix="1" applyFont="1" applyBorder="1" applyAlignment="1">
      <alignment horizontal="center"/>
    </xf>
    <xf numFmtId="0" fontId="0" fillId="0" borderId="1" xfId="0" applyBorder="1"/>
    <xf numFmtId="165" fontId="11" fillId="0" borderId="1" xfId="0" applyNumberFormat="1" applyFont="1" applyBorder="1"/>
    <xf numFmtId="43" fontId="13" fillId="0" borderId="1" xfId="1" applyFont="1" applyFill="1" applyBorder="1"/>
    <xf numFmtId="166" fontId="11" fillId="0" borderId="1" xfId="0" applyNumberFormat="1" applyFont="1" applyFill="1" applyBorder="1" applyAlignment="1">
      <alignment vertical="center"/>
    </xf>
    <xf numFmtId="0" fontId="21" fillId="0" borderId="1" xfId="0" applyFont="1" applyBorder="1" applyAlignment="1">
      <alignment horizontal="center"/>
    </xf>
    <xf numFmtId="0" fontId="27" fillId="2" borderId="1" xfId="0" quotePrefix="1" applyFont="1" applyFill="1" applyBorder="1" applyAlignment="1">
      <alignment horizontal="center"/>
    </xf>
    <xf numFmtId="0" fontId="27" fillId="2" borderId="1" xfId="0" applyFont="1" applyFill="1" applyBorder="1" applyAlignment="1">
      <alignment horizontal="center"/>
    </xf>
    <xf numFmtId="0" fontId="27" fillId="2" borderId="1" xfId="0" applyFont="1" applyFill="1" applyBorder="1" applyAlignment="1">
      <alignment horizontal="left"/>
    </xf>
    <xf numFmtId="165" fontId="15" fillId="0" borderId="1" xfId="1" applyNumberFormat="1" applyFont="1" applyFill="1" applyBorder="1" applyAlignment="1">
      <alignment horizontal="right"/>
    </xf>
    <xf numFmtId="0" fontId="15" fillId="0" borderId="1" xfId="0" quotePrefix="1" applyFont="1" applyBorder="1" applyAlignment="1">
      <alignment horizontal="center" vertical="center"/>
    </xf>
    <xf numFmtId="0" fontId="27" fillId="2" borderId="1" xfId="0" quotePrefix="1" applyFont="1" applyFill="1" applyBorder="1" applyAlignment="1">
      <alignment horizontal="center" vertical="center"/>
    </xf>
    <xf numFmtId="0" fontId="27" fillId="2" borderId="1" xfId="0" applyFont="1" applyFill="1" applyBorder="1"/>
    <xf numFmtId="0" fontId="27" fillId="2" borderId="1" xfId="0" applyFont="1" applyFill="1" applyBorder="1" applyAlignment="1">
      <alignment horizontal="center" vertical="center"/>
    </xf>
    <xf numFmtId="0" fontId="27" fillId="2" borderId="1" xfId="0" applyFont="1" applyFill="1" applyBorder="1" applyAlignment="1">
      <alignment horizontal="left" vertical="top" wrapText="1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wrapText="1"/>
    </xf>
    <xf numFmtId="0" fontId="27" fillId="2" borderId="2" xfId="0" applyFont="1" applyFill="1" applyBorder="1" applyAlignment="1">
      <alignment horizontal="center" vertical="center"/>
    </xf>
    <xf numFmtId="0" fontId="28" fillId="0" borderId="12" xfId="0" quotePrefix="1" applyFont="1" applyFill="1" applyBorder="1" applyAlignment="1">
      <alignment horizontal="center" vertical="center"/>
    </xf>
    <xf numFmtId="0" fontId="28" fillId="0" borderId="4" xfId="0" applyFont="1" applyFill="1" applyBorder="1" applyAlignment="1">
      <alignment horizontal="left" vertical="top" wrapText="1"/>
    </xf>
    <xf numFmtId="165" fontId="28" fillId="0" borderId="4" xfId="1" applyNumberFormat="1" applyFont="1" applyFill="1" applyBorder="1" applyAlignment="1">
      <alignment horizontal="right"/>
    </xf>
    <xf numFmtId="0" fontId="15" fillId="0" borderId="3" xfId="0" quotePrefix="1" applyFont="1" applyBorder="1" applyAlignment="1">
      <alignment horizontal="center" vertical="center"/>
    </xf>
    <xf numFmtId="0" fontId="15" fillId="0" borderId="12" xfId="0" quotePrefix="1" applyFont="1" applyBorder="1" applyAlignment="1">
      <alignment horizontal="center" vertical="center"/>
    </xf>
    <xf numFmtId="0" fontId="15" fillId="0" borderId="4" xfId="0" applyFont="1" applyBorder="1" applyAlignment="1">
      <alignment horizontal="left" vertical="center" wrapText="1"/>
    </xf>
    <xf numFmtId="165" fontId="15" fillId="0" borderId="4" xfId="1" applyNumberFormat="1" applyFont="1" applyFill="1" applyBorder="1" applyAlignment="1">
      <alignment horizontal="right"/>
    </xf>
    <xf numFmtId="0" fontId="27" fillId="2" borderId="4" xfId="0" applyFont="1" applyFill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165" fontId="32" fillId="0" borderId="1" xfId="1" applyNumberFormat="1" applyFont="1" applyFill="1" applyBorder="1" applyAlignment="1">
      <alignment horizontal="right"/>
    </xf>
    <xf numFmtId="165" fontId="28" fillId="0" borderId="1" xfId="1" applyNumberFormat="1" applyFont="1" applyFill="1" applyBorder="1" applyAlignment="1">
      <alignment horizontal="right"/>
    </xf>
    <xf numFmtId="43" fontId="15" fillId="0" borderId="1" xfId="1" applyFont="1" applyFill="1" applyBorder="1" applyAlignment="1">
      <alignment horizontal="right"/>
    </xf>
    <xf numFmtId="43" fontId="28" fillId="0" borderId="1" xfId="1" applyFont="1" applyFill="1" applyBorder="1" applyAlignment="1">
      <alignment horizontal="right"/>
    </xf>
    <xf numFmtId="0" fontId="12" fillId="0" borderId="1" xfId="0" applyFont="1" applyBorder="1" applyAlignment="1">
      <alignment vertical="top" wrapText="1"/>
    </xf>
    <xf numFmtId="0" fontId="15" fillId="0" borderId="12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quotePrefix="1" applyFont="1" applyBorder="1" applyAlignment="1">
      <alignment horizontal="center" vertical="center"/>
    </xf>
    <xf numFmtId="0" fontId="28" fillId="0" borderId="1" xfId="0" quotePrefix="1" applyFont="1" applyFill="1" applyBorder="1" applyAlignment="1">
      <alignment horizontal="center" vertical="center"/>
    </xf>
    <xf numFmtId="0" fontId="15" fillId="0" borderId="4" xfId="0" applyFont="1" applyBorder="1" applyAlignment="1">
      <alignment horizontal="left" vertical="top" wrapText="1"/>
    </xf>
    <xf numFmtId="0" fontId="28" fillId="0" borderId="1" xfId="0" applyFont="1" applyFill="1" applyBorder="1" applyAlignment="1">
      <alignment horizontal="left" vertical="top" wrapText="1"/>
    </xf>
    <xf numFmtId="0" fontId="15" fillId="0" borderId="4" xfId="0" quotePrefix="1" applyFont="1" applyBorder="1" applyAlignment="1">
      <alignment horizontal="center" vertical="center"/>
    </xf>
    <xf numFmtId="0" fontId="15" fillId="0" borderId="4" xfId="0" applyFont="1" applyBorder="1"/>
    <xf numFmtId="43" fontId="15" fillId="0" borderId="4" xfId="1" applyFont="1" applyFill="1" applyBorder="1" applyAlignment="1">
      <alignment horizontal="right"/>
    </xf>
    <xf numFmtId="43" fontId="28" fillId="0" borderId="4" xfId="1" applyFont="1" applyFill="1" applyBorder="1" applyAlignment="1">
      <alignment horizontal="right"/>
    </xf>
    <xf numFmtId="43" fontId="0" fillId="0" borderId="0" xfId="1" applyFont="1"/>
    <xf numFmtId="43" fontId="12" fillId="0" borderId="1" xfId="1" applyFont="1" applyFill="1" applyBorder="1" applyAlignment="1">
      <alignment horizontal="right"/>
    </xf>
    <xf numFmtId="0" fontId="12" fillId="0" borderId="1" xfId="0" applyFont="1" applyFill="1" applyBorder="1" applyAlignment="1">
      <alignment horizontal="left" vertical="top" wrapText="1"/>
    </xf>
    <xf numFmtId="0" fontId="12" fillId="0" borderId="0" xfId="0" applyFont="1" applyBorder="1" applyAlignment="1">
      <alignment horizontal="left" vertical="top" wrapText="1"/>
    </xf>
    <xf numFmtId="165" fontId="12" fillId="0" borderId="0" xfId="1" applyNumberFormat="1" applyFont="1" applyFill="1" applyBorder="1" applyAlignment="1">
      <alignment horizontal="right"/>
    </xf>
    <xf numFmtId="43" fontId="12" fillId="0" borderId="0" xfId="1" applyFont="1" applyFill="1" applyBorder="1" applyAlignment="1">
      <alignment horizontal="right"/>
    </xf>
    <xf numFmtId="43" fontId="12" fillId="0" borderId="1" xfId="0" applyNumberFormat="1" applyFont="1" applyBorder="1"/>
    <xf numFmtId="43" fontId="12" fillId="0" borderId="0" xfId="0" applyNumberFormat="1" applyFont="1"/>
    <xf numFmtId="0" fontId="11" fillId="0" borderId="0" xfId="0" applyFont="1" applyAlignment="1">
      <alignment horizontal="right"/>
    </xf>
    <xf numFmtId="166" fontId="12" fillId="0" borderId="1" xfId="0" applyNumberFormat="1" applyFont="1" applyBorder="1"/>
    <xf numFmtId="0" fontId="25" fillId="0" borderId="1" xfId="0" applyFont="1" applyBorder="1" applyAlignment="1">
      <alignment horizontal="center"/>
    </xf>
    <xf numFmtId="0" fontId="12" fillId="3" borderId="1" xfId="0" quotePrefix="1" applyFont="1" applyFill="1" applyBorder="1" applyAlignment="1">
      <alignment horizontal="center" vertical="center"/>
    </xf>
    <xf numFmtId="0" fontId="12" fillId="3" borderId="1" xfId="0" applyFont="1" applyFill="1" applyBorder="1" applyAlignment="1">
      <alignment horizontal="left" vertical="top" wrapText="1"/>
    </xf>
    <xf numFmtId="43" fontId="12" fillId="3" borderId="1" xfId="1" applyFont="1" applyFill="1" applyBorder="1" applyAlignment="1">
      <alignment horizontal="right"/>
    </xf>
    <xf numFmtId="166" fontId="12" fillId="0" borderId="4" xfId="0" applyNumberFormat="1" applyFont="1" applyBorder="1"/>
    <xf numFmtId="166" fontId="12" fillId="0" borderId="0" xfId="0" applyNumberFormat="1" applyFont="1" applyBorder="1"/>
    <xf numFmtId="0" fontId="15" fillId="0" borderId="1" xfId="0" applyFont="1" applyBorder="1" applyAlignment="1">
      <alignment horizontal="left" wrapText="1"/>
    </xf>
    <xf numFmtId="164" fontId="33" fillId="2" borderId="1" xfId="1" applyNumberFormat="1" applyFont="1" applyFill="1" applyBorder="1" applyAlignment="1">
      <alignment horizontal="right" vertical="center"/>
    </xf>
    <xf numFmtId="43" fontId="15" fillId="0" borderId="1" xfId="1" applyNumberFormat="1" applyFont="1" applyFill="1" applyBorder="1" applyAlignment="1">
      <alignment horizontal="right" vertical="center"/>
    </xf>
    <xf numFmtId="164" fontId="26" fillId="0" borderId="1" xfId="1" applyNumberFormat="1" applyFont="1" applyBorder="1" applyAlignment="1">
      <alignment horizontal="right" vertical="center"/>
    </xf>
    <xf numFmtId="164" fontId="26" fillId="2" borderId="1" xfId="1" applyNumberFormat="1" applyFont="1" applyFill="1" applyBorder="1" applyAlignment="1">
      <alignment horizontal="right" vertical="center"/>
    </xf>
    <xf numFmtId="43" fontId="15" fillId="0" borderId="1" xfId="1" applyFont="1" applyFill="1" applyBorder="1" applyAlignment="1">
      <alignment horizontal="right" vertical="center"/>
    </xf>
    <xf numFmtId="0" fontId="15" fillId="0" borderId="1" xfId="0" applyFont="1" applyBorder="1" applyAlignment="1">
      <alignment vertical="top" wrapText="1"/>
    </xf>
    <xf numFmtId="0" fontId="15" fillId="0" borderId="4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11" fillId="0" borderId="0" xfId="0" applyFont="1"/>
    <xf numFmtId="0" fontId="12" fillId="0" borderId="1" xfId="0" quotePrefix="1" applyFont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11" fillId="0" borderId="0" xfId="0" applyFont="1"/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/>
    </xf>
    <xf numFmtId="0" fontId="27" fillId="0" borderId="1" xfId="0" applyFont="1" applyBorder="1" applyAlignment="1">
      <alignment vertical="top" wrapText="1"/>
    </xf>
    <xf numFmtId="0" fontId="28" fillId="0" borderId="1" xfId="0" applyFont="1" applyBorder="1" applyAlignment="1">
      <alignment vertical="top" wrapText="1"/>
    </xf>
    <xf numFmtId="0" fontId="27" fillId="0" borderId="1" xfId="0" applyFont="1" applyBorder="1" applyAlignment="1">
      <alignment vertical="top"/>
    </xf>
    <xf numFmtId="0" fontId="15" fillId="0" borderId="1" xfId="0" applyFont="1" applyBorder="1" applyAlignment="1">
      <alignment vertical="top"/>
    </xf>
    <xf numFmtId="0" fontId="28" fillId="0" borderId="1" xfId="0" applyFont="1" applyBorder="1" applyAlignment="1">
      <alignment vertical="top"/>
    </xf>
    <xf numFmtId="49" fontId="15" fillId="0" borderId="1" xfId="0" applyNumberFormat="1" applyFont="1" applyBorder="1" applyAlignment="1">
      <alignment vertical="top"/>
    </xf>
    <xf numFmtId="0" fontId="27" fillId="0" borderId="1" xfId="0" applyFont="1" applyBorder="1" applyAlignment="1">
      <alignment horizontal="center" vertical="center"/>
    </xf>
    <xf numFmtId="0" fontId="27" fillId="0" borderId="1" xfId="0" quotePrefix="1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13" fillId="0" borderId="0" xfId="0" applyFont="1" applyBorder="1" applyAlignment="1">
      <alignment horizontal="center" vertical="center"/>
    </xf>
    <xf numFmtId="165" fontId="13" fillId="0" borderId="0" xfId="1" applyNumberFormat="1" applyFont="1" applyBorder="1" applyAlignment="1">
      <alignment vertical="center"/>
    </xf>
    <xf numFmtId="43" fontId="13" fillId="0" borderId="0" xfId="0" applyNumberFormat="1" applyFont="1" applyBorder="1"/>
    <xf numFmtId="166" fontId="13" fillId="0" borderId="0" xfId="0" applyNumberFormat="1" applyFont="1" applyFill="1" applyBorder="1"/>
    <xf numFmtId="0" fontId="11" fillId="0" borderId="1" xfId="0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43" fontId="9" fillId="0" borderId="0" xfId="0" applyNumberFormat="1" applyFont="1" applyFill="1"/>
    <xf numFmtId="43" fontId="0" fillId="0" borderId="0" xfId="0" applyNumberFormat="1" applyFill="1"/>
    <xf numFmtId="43" fontId="21" fillId="0" borderId="0" xfId="0" applyNumberFormat="1" applyFont="1" applyFill="1"/>
    <xf numFmtId="0" fontId="32" fillId="0" borderId="1" xfId="0" applyFont="1" applyBorder="1" applyAlignment="1">
      <alignment horizontal="center" vertical="center"/>
    </xf>
    <xf numFmtId="0" fontId="15" fillId="0" borderId="1" xfId="0" applyNumberFormat="1" applyFont="1" applyFill="1" applyBorder="1" applyAlignment="1">
      <alignment horizontal="center"/>
    </xf>
    <xf numFmtId="168" fontId="27" fillId="2" borderId="1" xfId="1" applyNumberFormat="1" applyFont="1" applyFill="1" applyBorder="1" applyAlignment="1">
      <alignment horizontal="right" vertical="center"/>
    </xf>
    <xf numFmtId="168" fontId="15" fillId="0" borderId="1" xfId="1" applyNumberFormat="1" applyFont="1" applyFill="1" applyBorder="1" applyAlignment="1">
      <alignment horizontal="right" vertical="center"/>
    </xf>
    <xf numFmtId="168" fontId="28" fillId="0" borderId="4" xfId="1" applyNumberFormat="1" applyFont="1" applyFill="1" applyBorder="1" applyAlignment="1">
      <alignment horizontal="right" vertical="center"/>
    </xf>
    <xf numFmtId="168" fontId="15" fillId="0" borderId="4" xfId="1" applyNumberFormat="1" applyFont="1" applyFill="1" applyBorder="1" applyAlignment="1">
      <alignment horizontal="right" vertical="center"/>
    </xf>
    <xf numFmtId="168" fontId="32" fillId="0" borderId="1" xfId="1" applyNumberFormat="1" applyFont="1" applyFill="1" applyBorder="1" applyAlignment="1">
      <alignment horizontal="right" vertical="center"/>
    </xf>
    <xf numFmtId="168" fontId="28" fillId="0" borderId="1" xfId="1" applyNumberFormat="1" applyFont="1" applyFill="1" applyBorder="1" applyAlignment="1">
      <alignment horizontal="right" vertical="center"/>
    </xf>
    <xf numFmtId="168" fontId="27" fillId="2" borderId="1" xfId="1" applyNumberFormat="1" applyFont="1" applyFill="1" applyBorder="1" applyAlignment="1">
      <alignment horizontal="right"/>
    </xf>
    <xf numFmtId="0" fontId="15" fillId="0" borderId="1" xfId="0" applyFont="1" applyBorder="1" applyAlignment="1">
      <alignment horizontal="center" vertical="center"/>
    </xf>
    <xf numFmtId="4" fontId="27" fillId="2" borderId="1" xfId="1" applyNumberFormat="1" applyFont="1" applyFill="1" applyBorder="1" applyAlignment="1">
      <alignment horizontal="right" vertical="center"/>
    </xf>
    <xf numFmtId="4" fontId="15" fillId="0" borderId="1" xfId="1" applyNumberFormat="1" applyFont="1" applyFill="1" applyBorder="1" applyAlignment="1">
      <alignment horizontal="right" vertical="center"/>
    </xf>
    <xf numFmtId="4" fontId="28" fillId="0" borderId="4" xfId="1" applyNumberFormat="1" applyFont="1" applyFill="1" applyBorder="1" applyAlignment="1">
      <alignment horizontal="right" vertical="center"/>
    </xf>
    <xf numFmtId="4" fontId="15" fillId="0" borderId="4" xfId="1" applyNumberFormat="1" applyFont="1" applyFill="1" applyBorder="1" applyAlignment="1">
      <alignment horizontal="right" vertical="center"/>
    </xf>
    <xf numFmtId="4" fontId="32" fillId="0" borderId="1" xfId="1" applyNumberFormat="1" applyFont="1" applyFill="1" applyBorder="1" applyAlignment="1">
      <alignment horizontal="right" vertical="center"/>
    </xf>
    <xf numFmtId="4" fontId="28" fillId="0" borderId="1" xfId="1" applyNumberFormat="1" applyFont="1" applyFill="1" applyBorder="1" applyAlignment="1">
      <alignment horizontal="right" vertical="center"/>
    </xf>
    <xf numFmtId="4" fontId="0" fillId="0" borderId="0" xfId="0" applyNumberFormat="1" applyFill="1"/>
    <xf numFmtId="4" fontId="15" fillId="0" borderId="10" xfId="1" applyNumberFormat="1" applyFont="1" applyBorder="1" applyAlignment="1">
      <alignment vertical="center"/>
    </xf>
    <xf numFmtId="4" fontId="27" fillId="0" borderId="1" xfId="0" applyNumberFormat="1" applyFont="1" applyBorder="1" applyAlignment="1">
      <alignment horizontal="center"/>
    </xf>
    <xf numFmtId="4" fontId="15" fillId="0" borderId="1" xfId="1" applyNumberFormat="1" applyFont="1" applyBorder="1"/>
    <xf numFmtId="4" fontId="27" fillId="0" borderId="1" xfId="1" applyNumberFormat="1" applyFont="1" applyBorder="1"/>
    <xf numFmtId="4" fontId="15" fillId="0" borderId="1" xfId="1" applyNumberFormat="1" applyFont="1" applyFill="1" applyBorder="1"/>
    <xf numFmtId="4" fontId="28" fillId="0" borderId="1" xfId="1" applyNumberFormat="1" applyFont="1" applyBorder="1"/>
    <xf numFmtId="0" fontId="36" fillId="0" borderId="2" xfId="0" applyFont="1" applyBorder="1" applyAlignment="1">
      <alignment vertical="top" wrapText="1"/>
    </xf>
    <xf numFmtId="4" fontId="0" fillId="0" borderId="0" xfId="0" applyNumberFormat="1"/>
    <xf numFmtId="0" fontId="15" fillId="3" borderId="1" xfId="0" applyFont="1" applyFill="1" applyBorder="1" applyAlignment="1">
      <alignment horizontal="center" vertical="center"/>
    </xf>
    <xf numFmtId="0" fontId="15" fillId="3" borderId="1" xfId="0" applyFont="1" applyFill="1" applyBorder="1" applyAlignment="1">
      <alignment vertical="top" wrapText="1"/>
    </xf>
    <xf numFmtId="0" fontId="28" fillId="0" borderId="1" xfId="0" quotePrefix="1" applyFont="1" applyBorder="1" applyAlignment="1">
      <alignment horizontal="center" vertical="center"/>
    </xf>
    <xf numFmtId="165" fontId="28" fillId="0" borderId="1" xfId="1" applyNumberFormat="1" applyFont="1" applyBorder="1" applyAlignment="1">
      <alignment vertical="top"/>
    </xf>
    <xf numFmtId="0" fontId="17" fillId="0" borderId="4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/>
    </xf>
    <xf numFmtId="0" fontId="17" fillId="0" borderId="1" xfId="0" applyFont="1" applyBorder="1" applyAlignment="1">
      <alignment horizontal="center" vertical="center"/>
    </xf>
    <xf numFmtId="0" fontId="11" fillId="0" borderId="0" xfId="0" applyFont="1"/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11" fillId="0" borderId="0" xfId="0" applyFont="1"/>
    <xf numFmtId="43" fontId="13" fillId="0" borderId="1" xfId="1" applyNumberFormat="1" applyFont="1" applyBorder="1"/>
    <xf numFmtId="43" fontId="11" fillId="0" borderId="1" xfId="0" applyNumberFormat="1" applyFont="1" applyBorder="1"/>
    <xf numFmtId="43" fontId="11" fillId="0" borderId="1" xfId="1" applyNumberFormat="1" applyFont="1" applyBorder="1"/>
    <xf numFmtId="43" fontId="11" fillId="0" borderId="1" xfId="1" applyFont="1" applyBorder="1" applyAlignment="1">
      <alignment horizontal="right"/>
    </xf>
    <xf numFmtId="164" fontId="20" fillId="0" borderId="1" xfId="1" applyNumberFormat="1" applyFont="1" applyBorder="1"/>
    <xf numFmtId="164" fontId="17" fillId="0" borderId="1" xfId="1" applyNumberFormat="1" applyFont="1" applyBorder="1"/>
    <xf numFmtId="43" fontId="17" fillId="0" borderId="1" xfId="1" applyFont="1" applyBorder="1"/>
    <xf numFmtId="4" fontId="20" fillId="0" borderId="1" xfId="1" applyNumberFormat="1" applyFont="1" applyBorder="1" applyAlignment="1">
      <alignment horizontal="right"/>
    </xf>
    <xf numFmtId="4" fontId="17" fillId="0" borderId="1" xfId="1" applyNumberFormat="1" applyFont="1" applyBorder="1" applyAlignment="1">
      <alignment horizontal="right"/>
    </xf>
    <xf numFmtId="167" fontId="34" fillId="0" borderId="1" xfId="1" applyNumberFormat="1" applyFont="1" applyBorder="1" applyAlignment="1">
      <alignment horizontal="right"/>
    </xf>
    <xf numFmtId="167" fontId="21" fillId="0" borderId="1" xfId="1" applyNumberFormat="1" applyFont="1" applyBorder="1" applyAlignment="1">
      <alignment horizontal="right"/>
    </xf>
    <xf numFmtId="0" fontId="12" fillId="0" borderId="1" xfId="0" applyFont="1" applyBorder="1" applyAlignment="1">
      <alignment horizontal="left"/>
    </xf>
    <xf numFmtId="49" fontId="12" fillId="0" borderId="1" xfId="0" applyNumberFormat="1" applyFont="1" applyBorder="1"/>
    <xf numFmtId="4" fontId="27" fillId="0" borderId="1" xfId="0" applyNumberFormat="1" applyFont="1" applyBorder="1" applyAlignment="1">
      <alignment horizontal="right"/>
    </xf>
    <xf numFmtId="4" fontId="27" fillId="0" borderId="1" xfId="1" applyNumberFormat="1" applyFont="1" applyBorder="1" applyAlignment="1">
      <alignment horizontal="right"/>
    </xf>
    <xf numFmtId="4" fontId="27" fillId="0" borderId="8" xfId="1" applyNumberFormat="1" applyFont="1" applyBorder="1" applyAlignment="1">
      <alignment horizontal="right"/>
    </xf>
    <xf numFmtId="4" fontId="15" fillId="0" borderId="1" xfId="1" applyNumberFormat="1" applyFont="1" applyBorder="1" applyAlignment="1">
      <alignment horizontal="right"/>
    </xf>
    <xf numFmtId="4" fontId="15" fillId="0" borderId="8" xfId="1" applyNumberFormat="1" applyFont="1" applyBorder="1" applyAlignment="1">
      <alignment horizontal="right"/>
    </xf>
    <xf numFmtId="4" fontId="15" fillId="0" borderId="1" xfId="1" applyNumberFormat="1" applyFont="1" applyFill="1" applyBorder="1" applyAlignment="1">
      <alignment horizontal="right"/>
    </xf>
    <xf numFmtId="167" fontId="27" fillId="0" borderId="1" xfId="1" applyNumberFormat="1" applyFont="1" applyBorder="1" applyAlignment="1">
      <alignment horizontal="right"/>
    </xf>
    <xf numFmtId="0" fontId="9" fillId="0" borderId="0" xfId="0" applyFont="1" applyAlignment="1">
      <alignment vertical="center"/>
    </xf>
    <xf numFmtId="0" fontId="15" fillId="0" borderId="0" xfId="0" applyFont="1" applyAlignment="1">
      <alignment horizontal="right" vertical="top" wrapText="1"/>
    </xf>
    <xf numFmtId="0" fontId="16" fillId="0" borderId="0" xfId="0" applyFont="1" applyAlignment="1">
      <alignment horizontal="right"/>
    </xf>
    <xf numFmtId="0" fontId="10" fillId="4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3" fontId="9" fillId="0" borderId="1" xfId="1" applyFont="1" applyBorder="1" applyAlignment="1">
      <alignment vertical="center"/>
    </xf>
    <xf numFmtId="0" fontId="9" fillId="0" borderId="14" xfId="0" applyFont="1" applyBorder="1" applyAlignment="1">
      <alignment horizontal="center" vertical="center"/>
    </xf>
    <xf numFmtId="0" fontId="9" fillId="0" borderId="14" xfId="0" applyFont="1" applyBorder="1" applyAlignment="1">
      <alignment vertical="center"/>
    </xf>
    <xf numFmtId="43" fontId="9" fillId="0" borderId="14" xfId="1" applyFont="1" applyBorder="1" applyAlignment="1">
      <alignment vertical="center"/>
    </xf>
    <xf numFmtId="0" fontId="9" fillId="0" borderId="17" xfId="0" applyFont="1" applyBorder="1" applyAlignment="1">
      <alignment horizontal="center" vertical="center"/>
    </xf>
    <xf numFmtId="0" fontId="9" fillId="0" borderId="17" xfId="0" applyFont="1" applyBorder="1" applyAlignment="1">
      <alignment vertical="center"/>
    </xf>
    <xf numFmtId="43" fontId="9" fillId="0" borderId="17" xfId="1" applyFont="1" applyBorder="1" applyAlignment="1">
      <alignment vertical="center"/>
    </xf>
    <xf numFmtId="0" fontId="9" fillId="0" borderId="17" xfId="0" applyFont="1" applyBorder="1" applyAlignment="1">
      <alignment vertical="center" wrapText="1"/>
    </xf>
    <xf numFmtId="0" fontId="9" fillId="0" borderId="18" xfId="0" applyFont="1" applyBorder="1" applyAlignment="1">
      <alignment vertical="center"/>
    </xf>
    <xf numFmtId="0" fontId="9" fillId="0" borderId="18" xfId="0" applyFont="1" applyBorder="1" applyAlignment="1">
      <alignment horizontal="center" vertical="center"/>
    </xf>
    <xf numFmtId="43" fontId="9" fillId="0" borderId="18" xfId="1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37" fillId="0" borderId="0" xfId="0" applyFont="1"/>
    <xf numFmtId="0" fontId="37" fillId="0" borderId="0" xfId="0" applyFont="1" applyAlignment="1">
      <alignment vertical="center"/>
    </xf>
    <xf numFmtId="43" fontId="9" fillId="0" borderId="14" xfId="1" applyFont="1" applyBorder="1" applyAlignment="1">
      <alignment horizontal="center" vertical="center"/>
    </xf>
    <xf numFmtId="43" fontId="9" fillId="0" borderId="17" xfId="1" applyFont="1" applyBorder="1" applyAlignment="1">
      <alignment horizontal="center" vertical="center"/>
    </xf>
    <xf numFmtId="43" fontId="9" fillId="0" borderId="18" xfId="1" applyFont="1" applyBorder="1" applyAlignment="1">
      <alignment horizontal="center" vertical="center"/>
    </xf>
    <xf numFmtId="43" fontId="9" fillId="0" borderId="1" xfId="1" applyFont="1" applyBorder="1" applyAlignment="1">
      <alignment horizontal="center" vertical="center"/>
    </xf>
    <xf numFmtId="43" fontId="9" fillId="0" borderId="1" xfId="0" applyNumberFormat="1" applyFont="1" applyBorder="1" applyAlignment="1">
      <alignment horizontal="center" vertical="center"/>
    </xf>
    <xf numFmtId="0" fontId="22" fillId="0" borderId="0" xfId="0" applyFont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39" fillId="0" borderId="0" xfId="0" applyFont="1"/>
    <xf numFmtId="0" fontId="40" fillId="0" borderId="0" xfId="0" applyFont="1" applyAlignment="1">
      <alignment horizontal="center" wrapText="1"/>
    </xf>
    <xf numFmtId="0" fontId="38" fillId="0" borderId="0" xfId="0" applyFont="1" applyAlignment="1">
      <alignment wrapText="1"/>
    </xf>
    <xf numFmtId="0" fontId="28" fillId="0" borderId="0" xfId="0" applyFont="1" applyAlignment="1">
      <alignment horizontal="right"/>
    </xf>
    <xf numFmtId="0" fontId="42" fillId="0" borderId="1" xfId="0" applyFont="1" applyBorder="1" applyAlignment="1">
      <alignment horizontal="center"/>
    </xf>
    <xf numFmtId="0" fontId="43" fillId="0" borderId="1" xfId="0" applyFont="1" applyBorder="1" applyAlignment="1">
      <alignment horizontal="center"/>
    </xf>
    <xf numFmtId="0" fontId="43" fillId="0" borderId="1" xfId="0" applyFont="1" applyBorder="1" applyAlignment="1">
      <alignment wrapText="1"/>
    </xf>
    <xf numFmtId="0" fontId="41" fillId="2" borderId="1" xfId="0" applyFont="1" applyFill="1" applyBorder="1" applyAlignment="1">
      <alignment horizontal="center"/>
    </xf>
    <xf numFmtId="0" fontId="41" fillId="2" borderId="1" xfId="0" applyFont="1" applyFill="1" applyBorder="1" applyAlignment="1">
      <alignment horizontal="center" wrapText="1"/>
    </xf>
    <xf numFmtId="0" fontId="13" fillId="2" borderId="1" xfId="0" applyFont="1" applyFill="1" applyBorder="1" applyAlignment="1">
      <alignment horizontal="center" wrapText="1"/>
    </xf>
    <xf numFmtId="168" fontId="11" fillId="0" borderId="1" xfId="1" applyNumberFormat="1" applyFont="1" applyBorder="1"/>
    <xf numFmtId="4" fontId="43" fillId="0" borderId="1" xfId="0" applyNumberFormat="1" applyFont="1" applyBorder="1"/>
    <xf numFmtId="4" fontId="41" fillId="0" borderId="1" xfId="0" applyNumberFormat="1" applyFont="1" applyBorder="1"/>
    <xf numFmtId="168" fontId="13" fillId="0" borderId="1" xfId="1" applyNumberFormat="1" applyFont="1" applyBorder="1"/>
    <xf numFmtId="0" fontId="13" fillId="2" borderId="1" xfId="0" applyFont="1" applyFill="1" applyBorder="1" applyAlignment="1">
      <alignment horizontal="center" vertical="center"/>
    </xf>
    <xf numFmtId="0" fontId="44" fillId="0" borderId="1" xfId="0" applyFont="1" applyBorder="1" applyAlignment="1">
      <alignment horizontal="center"/>
    </xf>
    <xf numFmtId="169" fontId="26" fillId="0" borderId="1" xfId="1" applyNumberFormat="1" applyFont="1" applyBorder="1" applyAlignment="1">
      <alignment horizontal="center"/>
    </xf>
    <xf numFmtId="166" fontId="13" fillId="0" borderId="1" xfId="0" applyNumberFormat="1" applyFont="1" applyFill="1" applyBorder="1" applyAlignment="1">
      <alignment horizontal="right" vertical="center"/>
    </xf>
    <xf numFmtId="0" fontId="15" fillId="0" borderId="0" xfId="0" applyFont="1" applyAlignment="1">
      <alignment horizontal="right"/>
    </xf>
    <xf numFmtId="0" fontId="9" fillId="0" borderId="1" xfId="0" applyFont="1" applyFill="1" applyBorder="1" applyAlignment="1">
      <alignment wrapText="1"/>
    </xf>
    <xf numFmtId="0" fontId="10" fillId="2" borderId="1" xfId="0" applyFont="1" applyFill="1" applyBorder="1" applyAlignment="1">
      <alignment horizontal="center" vertical="center"/>
    </xf>
    <xf numFmtId="168" fontId="41" fillId="0" borderId="1" xfId="0" applyNumberFormat="1" applyFont="1" applyBorder="1" applyAlignment="1">
      <alignment vertical="center"/>
    </xf>
    <xf numFmtId="168" fontId="13" fillId="0" borderId="1" xfId="0" applyNumberFormat="1" applyFont="1" applyBorder="1"/>
    <xf numFmtId="0" fontId="43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 wrapText="1"/>
    </xf>
    <xf numFmtId="0" fontId="9" fillId="0" borderId="14" xfId="0" applyFont="1" applyFill="1" applyBorder="1" applyAlignment="1">
      <alignment wrapText="1"/>
    </xf>
    <xf numFmtId="0" fontId="9" fillId="0" borderId="2" xfId="0" applyFont="1" applyFill="1" applyBorder="1" applyAlignment="1">
      <alignment wrapText="1"/>
    </xf>
    <xf numFmtId="0" fontId="9" fillId="0" borderId="1" xfId="0" applyFont="1" applyBorder="1" applyAlignment="1">
      <alignment horizontal="left" vertical="center" wrapText="1"/>
    </xf>
    <xf numFmtId="0" fontId="10" fillId="0" borderId="8" xfId="0" applyFont="1" applyBorder="1" applyAlignment="1">
      <alignment vertical="center"/>
    </xf>
    <xf numFmtId="0" fontId="10" fillId="0" borderId="6" xfId="0" applyFont="1" applyBorder="1" applyAlignment="1">
      <alignment vertical="center"/>
    </xf>
    <xf numFmtId="0" fontId="10" fillId="2" borderId="1" xfId="0" applyFont="1" applyFill="1" applyBorder="1" applyAlignment="1">
      <alignment horizontal="center" vertical="center" wrapText="1"/>
    </xf>
    <xf numFmtId="164" fontId="9" fillId="0" borderId="2" xfId="1" applyNumberFormat="1" applyFont="1" applyBorder="1" applyAlignment="1">
      <alignment horizontal="center" vertical="center"/>
    </xf>
    <xf numFmtId="168" fontId="9" fillId="0" borderId="2" xfId="1" applyNumberFormat="1" applyFont="1" applyBorder="1" applyAlignment="1">
      <alignment horizontal="right" vertical="center"/>
    </xf>
    <xf numFmtId="168" fontId="41" fillId="0" borderId="1" xfId="0" applyNumberFormat="1" applyFont="1" applyBorder="1" applyAlignment="1">
      <alignment horizontal="right" vertical="center"/>
    </xf>
    <xf numFmtId="164" fontId="41" fillId="0" borderId="1" xfId="1" applyNumberFormat="1" applyFont="1" applyBorder="1" applyAlignment="1">
      <alignment horizontal="center" vertical="center"/>
    </xf>
    <xf numFmtId="4" fontId="41" fillId="0" borderId="1" xfId="0" applyNumberFormat="1" applyFont="1" applyBorder="1" applyAlignment="1">
      <alignment vertical="center"/>
    </xf>
    <xf numFmtId="0" fontId="15" fillId="0" borderId="1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4" xfId="0" quotePrefix="1" applyFont="1" applyBorder="1" applyAlignment="1">
      <alignment horizontal="center" vertical="center"/>
    </xf>
    <xf numFmtId="0" fontId="15" fillId="0" borderId="4" xfId="0" applyFont="1" applyBorder="1" applyAlignment="1">
      <alignment horizontal="center"/>
    </xf>
    <xf numFmtId="0" fontId="17" fillId="0" borderId="4" xfId="0" applyFont="1" applyBorder="1" applyAlignment="1">
      <alignment horizontal="center" vertical="center"/>
    </xf>
    <xf numFmtId="0" fontId="17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2" fillId="2" borderId="4" xfId="0" applyFont="1" applyFill="1" applyBorder="1" applyAlignment="1">
      <alignment horizontal="center"/>
    </xf>
    <xf numFmtId="0" fontId="32" fillId="2" borderId="1" xfId="0" applyFont="1" applyFill="1" applyBorder="1" applyAlignment="1">
      <alignment horizontal="center" vertical="center"/>
    </xf>
    <xf numFmtId="0" fontId="32" fillId="2" borderId="1" xfId="0" applyFont="1" applyFill="1" applyBorder="1" applyAlignment="1">
      <alignment wrapText="1"/>
    </xf>
    <xf numFmtId="168" fontId="32" fillId="2" borderId="1" xfId="1" applyNumberFormat="1" applyFont="1" applyFill="1" applyBorder="1" applyAlignment="1">
      <alignment horizontal="right" vertical="center"/>
    </xf>
    <xf numFmtId="4" fontId="32" fillId="2" borderId="1" xfId="1" applyNumberFormat="1" applyFont="1" applyFill="1" applyBorder="1" applyAlignment="1">
      <alignment horizontal="right" vertical="center"/>
    </xf>
    <xf numFmtId="164" fontId="45" fillId="2" borderId="1" xfId="1" applyNumberFormat="1" applyFont="1" applyFill="1" applyBorder="1" applyAlignment="1">
      <alignment horizontal="right" vertical="center"/>
    </xf>
    <xf numFmtId="164" fontId="44" fillId="0" borderId="1" xfId="1" applyNumberFormat="1" applyFont="1" applyBorder="1" applyAlignment="1">
      <alignment horizontal="right" vertical="center"/>
    </xf>
    <xf numFmtId="0" fontId="32" fillId="2" borderId="1" xfId="0" quotePrefix="1" applyFont="1" applyFill="1" applyBorder="1" applyAlignment="1">
      <alignment horizontal="center" vertical="center"/>
    </xf>
    <xf numFmtId="0" fontId="32" fillId="2" borderId="1" xfId="0" applyFont="1" applyFill="1" applyBorder="1" applyAlignment="1">
      <alignment horizontal="left" vertical="top" wrapText="1"/>
    </xf>
    <xf numFmtId="0" fontId="32" fillId="0" borderId="4" xfId="0" applyFont="1" applyFill="1" applyBorder="1" applyAlignment="1">
      <alignment horizontal="center"/>
    </xf>
    <xf numFmtId="0" fontId="32" fillId="0" borderId="1" xfId="0" applyFont="1" applyFill="1" applyBorder="1" applyAlignment="1">
      <alignment horizontal="center" vertical="center"/>
    </xf>
    <xf numFmtId="0" fontId="32" fillId="0" borderId="1" xfId="0" applyFont="1" applyFill="1" applyBorder="1" applyAlignment="1">
      <alignment wrapText="1"/>
    </xf>
    <xf numFmtId="164" fontId="45" fillId="0" borderId="1" xfId="1" applyNumberFormat="1" applyFont="1" applyFill="1" applyBorder="1" applyAlignment="1">
      <alignment horizontal="right" vertical="center"/>
    </xf>
    <xf numFmtId="4" fontId="32" fillId="0" borderId="1" xfId="1" applyNumberFormat="1" applyFont="1" applyBorder="1"/>
    <xf numFmtId="169" fontId="45" fillId="0" borderId="1" xfId="1" applyNumberFormat="1" applyFont="1" applyBorder="1" applyAlignment="1">
      <alignment horizontal="center"/>
    </xf>
    <xf numFmtId="4" fontId="28" fillId="0" borderId="1" xfId="1" applyNumberFormat="1" applyFont="1" applyFill="1" applyBorder="1"/>
    <xf numFmtId="4" fontId="9" fillId="0" borderId="1" xfId="0" applyNumberFormat="1" applyFont="1" applyBorder="1" applyAlignment="1">
      <alignment horizontal="right" vertical="center"/>
    </xf>
    <xf numFmtId="4" fontId="43" fillId="0" borderId="1" xfId="0" applyNumberFormat="1" applyFont="1" applyBorder="1" applyAlignment="1">
      <alignment horizontal="right" vertical="center"/>
    </xf>
    <xf numFmtId="166" fontId="11" fillId="0" borderId="1" xfId="0" applyNumberFormat="1" applyFont="1" applyBorder="1" applyAlignment="1">
      <alignment vertical="center"/>
    </xf>
    <xf numFmtId="168" fontId="9" fillId="0" borderId="1" xfId="1" applyNumberFormat="1" applyFont="1" applyBorder="1" applyAlignment="1">
      <alignment vertical="center"/>
    </xf>
    <xf numFmtId="168" fontId="11" fillId="0" borderId="1" xfId="0" applyNumberFormat="1" applyFont="1" applyBorder="1" applyAlignment="1">
      <alignment vertical="center"/>
    </xf>
    <xf numFmtId="0" fontId="43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68" fontId="11" fillId="3" borderId="1" xfId="1" applyNumberFormat="1" applyFont="1" applyFill="1" applyBorder="1"/>
    <xf numFmtId="4" fontId="43" fillId="3" borderId="1" xfId="0" applyNumberFormat="1" applyFont="1" applyFill="1" applyBorder="1"/>
    <xf numFmtId="168" fontId="9" fillId="0" borderId="14" xfId="1" applyNumberFormat="1" applyFont="1" applyBorder="1" applyAlignment="1">
      <alignment horizontal="right" vertical="center"/>
    </xf>
    <xf numFmtId="0" fontId="43" fillId="0" borderId="1" xfId="0" applyFont="1" applyFill="1" applyBorder="1" applyAlignment="1">
      <alignment wrapText="1"/>
    </xf>
    <xf numFmtId="4" fontId="43" fillId="0" borderId="1" xfId="1" applyNumberFormat="1" applyFont="1" applyBorder="1"/>
    <xf numFmtId="0" fontId="41" fillId="0" borderId="8" xfId="0" applyFont="1" applyBorder="1" applyAlignment="1">
      <alignment vertical="center"/>
    </xf>
    <xf numFmtId="0" fontId="41" fillId="0" borderId="6" xfId="0" applyFont="1" applyBorder="1" applyAlignment="1">
      <alignment vertical="center"/>
    </xf>
    <xf numFmtId="164" fontId="43" fillId="0" borderId="1" xfId="1" applyNumberFormat="1" applyFont="1" applyBorder="1"/>
    <xf numFmtId="164" fontId="41" fillId="0" borderId="1" xfId="1" applyNumberFormat="1" applyFont="1" applyBorder="1"/>
    <xf numFmtId="0" fontId="11" fillId="0" borderId="10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right" vertical="center"/>
    </xf>
    <xf numFmtId="4" fontId="11" fillId="0" borderId="1" xfId="0" applyNumberFormat="1" applyFont="1" applyFill="1" applyBorder="1" applyAlignment="1">
      <alignment horizontal="right" vertical="center"/>
    </xf>
    <xf numFmtId="4" fontId="11" fillId="0" borderId="1" xfId="1" applyNumberFormat="1" applyFont="1" applyBorder="1" applyAlignment="1">
      <alignment horizontal="right" vertical="center"/>
    </xf>
    <xf numFmtId="4" fontId="11" fillId="0" borderId="1" xfId="1" applyNumberFormat="1" applyFont="1" applyFill="1" applyBorder="1" applyAlignment="1">
      <alignment horizontal="right" vertical="center"/>
    </xf>
    <xf numFmtId="168" fontId="13" fillId="0" borderId="1" xfId="1" applyNumberFormat="1" applyFont="1" applyBorder="1" applyAlignment="1">
      <alignment vertical="center"/>
    </xf>
    <xf numFmtId="168" fontId="13" fillId="0" borderId="1" xfId="0" applyNumberFormat="1" applyFont="1" applyBorder="1" applyAlignment="1">
      <alignment vertical="center"/>
    </xf>
    <xf numFmtId="0" fontId="14" fillId="0" borderId="3" xfId="0" applyFont="1" applyBorder="1" applyAlignment="1">
      <alignment horizontal="center"/>
    </xf>
    <xf numFmtId="165" fontId="46" fillId="0" borderId="0" xfId="0" applyNumberFormat="1" applyFont="1"/>
    <xf numFmtId="0" fontId="46" fillId="0" borderId="0" xfId="0" applyFont="1"/>
    <xf numFmtId="43" fontId="12" fillId="0" borderId="1" xfId="1" applyNumberFormat="1" applyFont="1" applyFill="1" applyBorder="1" applyAlignment="1">
      <alignment horizontal="right"/>
    </xf>
    <xf numFmtId="43" fontId="12" fillId="3" borderId="1" xfId="1" applyNumberFormat="1" applyFont="1" applyFill="1" applyBorder="1" applyAlignment="1">
      <alignment horizontal="right"/>
    </xf>
    <xf numFmtId="0" fontId="15" fillId="0" borderId="4" xfId="0" applyFont="1" applyBorder="1" applyAlignment="1">
      <alignment vertical="top" wrapText="1"/>
    </xf>
    <xf numFmtId="0" fontId="15" fillId="0" borderId="5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10" fillId="0" borderId="0" xfId="0" applyFont="1" applyAlignment="1">
      <alignment horizontal="center"/>
    </xf>
    <xf numFmtId="0" fontId="15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right"/>
    </xf>
    <xf numFmtId="0" fontId="16" fillId="0" borderId="3" xfId="0" applyFont="1" applyBorder="1" applyAlignment="1">
      <alignment horizontal="center"/>
    </xf>
    <xf numFmtId="0" fontId="16" fillId="0" borderId="4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/>
    </xf>
    <xf numFmtId="0" fontId="14" fillId="2" borderId="3" xfId="0" applyFont="1" applyFill="1" applyBorder="1" applyAlignment="1">
      <alignment horizontal="center"/>
    </xf>
    <xf numFmtId="0" fontId="14" fillId="2" borderId="1" xfId="0" applyFont="1" applyFill="1" applyBorder="1" applyAlignment="1">
      <alignment vertical="center" wrapText="1"/>
    </xf>
    <xf numFmtId="0" fontId="47" fillId="0" borderId="1" xfId="0" applyFont="1" applyBorder="1" applyAlignment="1">
      <alignment vertical="center" wrapText="1"/>
    </xf>
    <xf numFmtId="0" fontId="14" fillId="2" borderId="1" xfId="0" applyFont="1" applyFill="1" applyBorder="1" applyAlignment="1">
      <alignment wrapText="1"/>
    </xf>
    <xf numFmtId="0" fontId="47" fillId="0" borderId="1" xfId="0" applyFont="1" applyBorder="1" applyAlignment="1">
      <alignment wrapText="1"/>
    </xf>
    <xf numFmtId="0" fontId="47" fillId="0" borderId="1" xfId="0" applyFont="1" applyFill="1" applyBorder="1" applyAlignment="1">
      <alignment wrapText="1"/>
    </xf>
    <xf numFmtId="0" fontId="16" fillId="0" borderId="0" xfId="0" applyFont="1"/>
    <xf numFmtId="3" fontId="16" fillId="0" borderId="0" xfId="0" applyNumberFormat="1" applyFont="1" applyAlignment="1">
      <alignment horizontal="right"/>
    </xf>
    <xf numFmtId="4" fontId="14" fillId="2" borderId="1" xfId="0" applyNumberFormat="1" applyFont="1" applyFill="1" applyBorder="1" applyAlignment="1">
      <alignment horizontal="right" vertical="center" wrapText="1"/>
    </xf>
    <xf numFmtId="4" fontId="14" fillId="2" borderId="1" xfId="1" applyNumberFormat="1" applyFont="1" applyFill="1" applyBorder="1" applyAlignment="1">
      <alignment horizontal="right" vertical="center"/>
    </xf>
    <xf numFmtId="4" fontId="16" fillId="0" borderId="1" xfId="0" applyNumberFormat="1" applyFont="1" applyBorder="1" applyAlignment="1">
      <alignment horizontal="right" vertical="top" wrapText="1"/>
    </xf>
    <xf numFmtId="4" fontId="16" fillId="0" borderId="1" xfId="1" applyNumberFormat="1" applyFont="1" applyBorder="1" applyAlignment="1">
      <alignment horizontal="right"/>
    </xf>
    <xf numFmtId="4" fontId="14" fillId="2" borderId="3" xfId="0" applyNumberFormat="1" applyFont="1" applyFill="1" applyBorder="1" applyAlignment="1">
      <alignment horizontal="right" vertical="top" wrapText="1"/>
    </xf>
    <xf numFmtId="4" fontId="14" fillId="2" borderId="1" xfId="1" applyNumberFormat="1" applyFont="1" applyFill="1" applyBorder="1" applyAlignment="1">
      <alignment horizontal="right"/>
    </xf>
    <xf numFmtId="4" fontId="16" fillId="0" borderId="1" xfId="0" applyNumberFormat="1" applyFont="1" applyFill="1" applyBorder="1" applyAlignment="1">
      <alignment horizontal="right" vertical="top" wrapText="1"/>
    </xf>
    <xf numFmtId="4" fontId="16" fillId="0" borderId="1" xfId="1" applyNumberFormat="1" applyFont="1" applyFill="1" applyBorder="1" applyAlignment="1">
      <alignment horizontal="right"/>
    </xf>
    <xf numFmtId="4" fontId="14" fillId="0" borderId="3" xfId="0" applyNumberFormat="1" applyFont="1" applyBorder="1" applyAlignment="1">
      <alignment horizontal="right"/>
    </xf>
    <xf numFmtId="4" fontId="14" fillId="0" borderId="8" xfId="1" applyNumberFormat="1" applyFont="1" applyBorder="1" applyAlignment="1">
      <alignment horizontal="right"/>
    </xf>
    <xf numFmtId="4" fontId="14" fillId="0" borderId="1" xfId="1" applyNumberFormat="1" applyFont="1" applyBorder="1" applyAlignment="1">
      <alignment horizontal="right"/>
    </xf>
    <xf numFmtId="0" fontId="15" fillId="0" borderId="0" xfId="0" applyFont="1"/>
    <xf numFmtId="0" fontId="27" fillId="0" borderId="0" xfId="0" applyFont="1" applyFill="1" applyBorder="1"/>
    <xf numFmtId="0" fontId="27" fillId="0" borderId="0" xfId="0" applyFont="1"/>
    <xf numFmtId="0" fontId="10" fillId="0" borderId="0" xfId="0" applyFont="1" applyFill="1" applyBorder="1" applyAlignment="1">
      <alignment horizontal="center"/>
    </xf>
    <xf numFmtId="0" fontId="27" fillId="0" borderId="1" xfId="0" applyFont="1" applyBorder="1" applyAlignment="1">
      <alignment wrapText="1"/>
    </xf>
    <xf numFmtId="0" fontId="27" fillId="5" borderId="1" xfId="0" applyFont="1" applyFill="1" applyBorder="1" applyAlignment="1">
      <alignment vertical="top" wrapText="1"/>
    </xf>
    <xf numFmtId="0" fontId="27" fillId="0" borderId="0" xfId="0" applyFont="1" applyFill="1" applyBorder="1" applyAlignment="1">
      <alignment vertical="top" wrapText="1"/>
    </xf>
    <xf numFmtId="0" fontId="27" fillId="4" borderId="1" xfId="0" applyFont="1" applyFill="1" applyBorder="1" applyAlignment="1">
      <alignment vertical="top" wrapText="1"/>
    </xf>
    <xf numFmtId="165" fontId="27" fillId="0" borderId="0" xfId="1" applyNumberFormat="1" applyFont="1" applyFill="1" applyBorder="1"/>
    <xf numFmtId="0" fontId="27" fillId="4" borderId="1" xfId="0" applyFont="1" applyFill="1" applyBorder="1" applyAlignment="1">
      <alignment wrapText="1"/>
    </xf>
    <xf numFmtId="0" fontId="15" fillId="0" borderId="1" xfId="0" applyFont="1" applyFill="1" applyBorder="1" applyAlignment="1">
      <alignment vertical="top" wrapText="1"/>
    </xf>
    <xf numFmtId="0" fontId="28" fillId="0" borderId="1" xfId="0" applyFont="1" applyFill="1" applyBorder="1" applyAlignment="1">
      <alignment vertical="top" wrapText="1"/>
    </xf>
    <xf numFmtId="165" fontId="28" fillId="0" borderId="0" xfId="1" applyNumberFormat="1" applyFont="1" applyFill="1" applyBorder="1"/>
    <xf numFmtId="0" fontId="28" fillId="0" borderId="2" xfId="0" applyFont="1" applyFill="1" applyBorder="1" applyAlignment="1">
      <alignment vertical="top" wrapText="1"/>
    </xf>
    <xf numFmtId="0" fontId="27" fillId="4" borderId="2" xfId="0" applyFont="1" applyFill="1" applyBorder="1" applyAlignment="1">
      <alignment wrapText="1"/>
    </xf>
    <xf numFmtId="0" fontId="27" fillId="4" borderId="21" xfId="0" applyFont="1" applyFill="1" applyBorder="1" applyAlignment="1">
      <alignment wrapText="1"/>
    </xf>
    <xf numFmtId="165" fontId="27" fillId="0" borderId="0" xfId="0" applyNumberFormat="1" applyFont="1" applyFill="1" applyBorder="1"/>
    <xf numFmtId="0" fontId="48" fillId="0" borderId="0" xfId="0" applyFont="1"/>
    <xf numFmtId="0" fontId="48" fillId="0" borderId="0" xfId="0" applyFont="1" applyAlignment="1">
      <alignment horizontal="center"/>
    </xf>
    <xf numFmtId="0" fontId="22" fillId="0" borderId="20" xfId="0" applyFont="1" applyBorder="1" applyAlignment="1">
      <alignment horizontal="center" vertical="center" wrapText="1"/>
    </xf>
    <xf numFmtId="0" fontId="48" fillId="0" borderId="0" xfId="0" applyFont="1" applyAlignment="1">
      <alignment vertical="center"/>
    </xf>
    <xf numFmtId="0" fontId="50" fillId="0" borderId="1" xfId="0" applyFont="1" applyBorder="1" applyAlignment="1">
      <alignment horizontal="center" vertical="center"/>
    </xf>
    <xf numFmtId="0" fontId="51" fillId="0" borderId="1" xfId="0" applyFont="1" applyBorder="1" applyAlignment="1">
      <alignment vertical="center" wrapText="1"/>
    </xf>
    <xf numFmtId="0" fontId="50" fillId="0" borderId="1" xfId="0" applyFont="1" applyBorder="1" applyAlignment="1">
      <alignment vertical="center"/>
    </xf>
    <xf numFmtId="0" fontId="12" fillId="0" borderId="0" xfId="0" applyFont="1" applyAlignment="1">
      <alignment horizontal="left"/>
    </xf>
    <xf numFmtId="0" fontId="11" fillId="0" borderId="2" xfId="0" applyFont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167" fontId="15" fillId="0" borderId="1" xfId="1" applyNumberFormat="1" applyFont="1" applyBorder="1" applyAlignment="1">
      <alignment horizontal="right"/>
    </xf>
    <xf numFmtId="168" fontId="15" fillId="0" borderId="1" xfId="1" applyNumberFormat="1" applyFont="1" applyBorder="1" applyAlignment="1">
      <alignment horizontal="right"/>
    </xf>
    <xf numFmtId="168" fontId="27" fillId="5" borderId="1" xfId="1" applyNumberFormat="1" applyFont="1" applyFill="1" applyBorder="1" applyAlignment="1">
      <alignment horizontal="right"/>
    </xf>
    <xf numFmtId="168" fontId="27" fillId="4" borderId="1" xfId="1" applyNumberFormat="1" applyFont="1" applyFill="1" applyBorder="1" applyAlignment="1">
      <alignment horizontal="right"/>
    </xf>
    <xf numFmtId="168" fontId="28" fillId="0" borderId="1" xfId="1" applyNumberFormat="1" applyFont="1" applyFill="1" applyBorder="1" applyAlignment="1">
      <alignment horizontal="right"/>
    </xf>
    <xf numFmtId="168" fontId="28" fillId="6" borderId="1" xfId="1" applyNumberFormat="1" applyFont="1" applyFill="1" applyBorder="1" applyAlignment="1">
      <alignment horizontal="right"/>
    </xf>
    <xf numFmtId="168" fontId="28" fillId="4" borderId="1" xfId="1" applyNumberFormat="1" applyFont="1" applyFill="1" applyBorder="1" applyAlignment="1">
      <alignment horizontal="right"/>
    </xf>
    <xf numFmtId="168" fontId="28" fillId="0" borderId="2" xfId="1" applyNumberFormat="1" applyFont="1" applyFill="1" applyBorder="1" applyAlignment="1">
      <alignment horizontal="right"/>
    </xf>
    <xf numFmtId="168" fontId="28" fillId="6" borderId="2" xfId="1" applyNumberFormat="1" applyFont="1" applyFill="1" applyBorder="1" applyAlignment="1">
      <alignment horizontal="right"/>
    </xf>
    <xf numFmtId="168" fontId="27" fillId="4" borderId="2" xfId="1" applyNumberFormat="1" applyFont="1" applyFill="1" applyBorder="1" applyAlignment="1">
      <alignment horizontal="right"/>
    </xf>
    <xf numFmtId="168" fontId="27" fillId="4" borderId="22" xfId="0" applyNumberFormat="1" applyFont="1" applyFill="1" applyBorder="1" applyAlignment="1">
      <alignment horizontal="right"/>
    </xf>
    <xf numFmtId="168" fontId="27" fillId="4" borderId="23" xfId="0" applyNumberFormat="1" applyFont="1" applyFill="1" applyBorder="1" applyAlignment="1">
      <alignment horizontal="right"/>
    </xf>
    <xf numFmtId="168" fontId="26" fillId="0" borderId="1" xfId="1" applyNumberFormat="1" applyFont="1" applyBorder="1" applyAlignment="1">
      <alignment horizontal="right"/>
    </xf>
    <xf numFmtId="168" fontId="33" fillId="4" borderId="1" xfId="1" applyNumberFormat="1" applyFont="1" applyFill="1" applyBorder="1" applyAlignment="1">
      <alignment horizontal="right"/>
    </xf>
    <xf numFmtId="168" fontId="26" fillId="0" borderId="1" xfId="1" applyNumberFormat="1" applyFont="1" applyFill="1" applyBorder="1" applyAlignment="1">
      <alignment horizontal="right"/>
    </xf>
    <xf numFmtId="168" fontId="28" fillId="5" borderId="1" xfId="1" applyNumberFormat="1" applyFont="1" applyFill="1" applyBorder="1" applyAlignment="1">
      <alignment horizontal="right"/>
    </xf>
    <xf numFmtId="168" fontId="26" fillId="0" borderId="2" xfId="1" applyNumberFormat="1" applyFont="1" applyFill="1" applyBorder="1" applyAlignment="1">
      <alignment horizontal="right"/>
    </xf>
    <xf numFmtId="168" fontId="33" fillId="4" borderId="2" xfId="1" applyNumberFormat="1" applyFont="1" applyFill="1" applyBorder="1" applyAlignment="1">
      <alignment horizontal="right"/>
    </xf>
    <xf numFmtId="168" fontId="33" fillId="4" borderId="22" xfId="0" applyNumberFormat="1" applyFont="1" applyFill="1" applyBorder="1" applyAlignment="1">
      <alignment horizontal="right"/>
    </xf>
    <xf numFmtId="0" fontId="27" fillId="0" borderId="1" xfId="0" quotePrefix="1" applyFont="1" applyBorder="1" applyAlignment="1">
      <alignment horizontal="center"/>
    </xf>
    <xf numFmtId="0" fontId="27" fillId="0" borderId="1" xfId="0" applyFont="1" applyBorder="1" applyAlignment="1">
      <alignment horizontal="center"/>
    </xf>
    <xf numFmtId="0" fontId="27" fillId="0" borderId="1" xfId="0" applyFont="1" applyBorder="1" applyAlignment="1">
      <alignment horizontal="left"/>
    </xf>
    <xf numFmtId="165" fontId="15" fillId="0" borderId="1" xfId="1" applyNumberFormat="1" applyFont="1" applyBorder="1" applyAlignment="1">
      <alignment horizontal="left"/>
    </xf>
    <xf numFmtId="165" fontId="27" fillId="0" borderId="1" xfId="1" applyNumberFormat="1" applyFont="1" applyBorder="1" applyAlignment="1">
      <alignment horizontal="left"/>
    </xf>
    <xf numFmtId="0" fontId="27" fillId="0" borderId="2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27" fillId="0" borderId="5" xfId="0" applyFont="1" applyBorder="1" applyAlignment="1">
      <alignment horizontal="center"/>
    </xf>
    <xf numFmtId="0" fontId="27" fillId="0" borderId="1" xfId="0" applyFont="1" applyBorder="1" applyAlignment="1">
      <alignment horizontal="left" vertical="top" wrapText="1"/>
    </xf>
    <xf numFmtId="0" fontId="27" fillId="0" borderId="4" xfId="0" applyFont="1" applyBorder="1" applyAlignment="1">
      <alignment horizontal="center"/>
    </xf>
    <xf numFmtId="0" fontId="27" fillId="0" borderId="3" xfId="0" applyFont="1" applyBorder="1" applyAlignment="1">
      <alignment horizontal="center"/>
    </xf>
    <xf numFmtId="0" fontId="27" fillId="0" borderId="1" xfId="0" applyFont="1" applyFill="1" applyBorder="1" applyAlignment="1">
      <alignment wrapText="1"/>
    </xf>
    <xf numFmtId="0" fontId="27" fillId="0" borderId="1" xfId="0" applyFont="1" applyBorder="1"/>
    <xf numFmtId="0" fontId="12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28" fillId="0" borderId="0" xfId="0" applyFont="1" applyAlignment="1">
      <alignment vertical="top" wrapText="1"/>
    </xf>
    <xf numFmtId="0" fontId="12" fillId="0" borderId="0" xfId="0" applyFont="1" applyAlignment="1">
      <alignment horizontal="center" vertical="center" wrapText="1"/>
    </xf>
    <xf numFmtId="168" fontId="50" fillId="0" borderId="1" xfId="1" applyNumberFormat="1" applyFont="1" applyBorder="1" applyAlignment="1">
      <alignment vertical="center"/>
    </xf>
    <xf numFmtId="168" fontId="50" fillId="0" borderId="1" xfId="1" applyNumberFormat="1" applyFont="1" applyFill="1" applyBorder="1" applyAlignment="1">
      <alignment vertical="center"/>
    </xf>
    <xf numFmtId="168" fontId="50" fillId="3" borderId="1" xfId="1" applyNumberFormat="1" applyFont="1" applyFill="1" applyBorder="1" applyAlignment="1">
      <alignment vertical="center"/>
    </xf>
    <xf numFmtId="168" fontId="52" fillId="0" borderId="1" xfId="1" applyNumberFormat="1" applyFont="1" applyBorder="1" applyAlignment="1">
      <alignment vertical="center"/>
    </xf>
    <xf numFmtId="0" fontId="53" fillId="0" borderId="1" xfId="0" applyFont="1" applyBorder="1" applyAlignment="1">
      <alignment vertical="center" wrapText="1"/>
    </xf>
    <xf numFmtId="0" fontId="53" fillId="0" borderId="6" xfId="0" applyFont="1" applyBorder="1" applyAlignment="1">
      <alignment vertical="center" wrapText="1"/>
    </xf>
    <xf numFmtId="168" fontId="54" fillId="0" borderId="1" xfId="1" applyNumberFormat="1" applyFont="1" applyBorder="1" applyAlignment="1">
      <alignment vertical="center"/>
    </xf>
    <xf numFmtId="169" fontId="11" fillId="0" borderId="1" xfId="0" applyNumberFormat="1" applyFont="1" applyBorder="1" applyAlignment="1">
      <alignment horizontal="right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4" fontId="17" fillId="0" borderId="2" xfId="1" applyNumberFormat="1" applyFont="1" applyBorder="1" applyAlignment="1">
      <alignment horizontal="right" vertical="center"/>
    </xf>
    <xf numFmtId="4" fontId="17" fillId="0" borderId="1" xfId="1" applyNumberFormat="1" applyFont="1" applyBorder="1" applyAlignment="1">
      <alignment horizontal="right" vertical="center"/>
    </xf>
    <xf numFmtId="4" fontId="17" fillId="0" borderId="1" xfId="0" applyNumberFormat="1" applyFont="1" applyBorder="1" applyAlignment="1">
      <alignment horizontal="right" vertical="center"/>
    </xf>
    <xf numFmtId="4" fontId="17" fillId="0" borderId="2" xfId="0" applyNumberFormat="1" applyFont="1" applyFill="1" applyBorder="1" applyAlignment="1">
      <alignment horizontal="right" vertical="center" wrapText="1"/>
    </xf>
    <xf numFmtId="4" fontId="17" fillId="0" borderId="1" xfId="1" applyNumberFormat="1" applyFont="1" applyFill="1" applyBorder="1" applyAlignment="1">
      <alignment horizontal="right" vertical="center" wrapText="1"/>
    </xf>
    <xf numFmtId="0" fontId="55" fillId="0" borderId="0" xfId="0" applyFont="1"/>
    <xf numFmtId="0" fontId="56" fillId="0" borderId="0" xfId="0" applyFont="1" applyAlignment="1">
      <alignment horizontal="right" vertical="top" wrapText="1"/>
    </xf>
    <xf numFmtId="0" fontId="56" fillId="0" borderId="0" xfId="0" applyFont="1" applyAlignment="1">
      <alignment vertical="top" wrapText="1"/>
    </xf>
    <xf numFmtId="0" fontId="58" fillId="0" borderId="0" xfId="0" applyFont="1" applyAlignment="1">
      <alignment horizontal="right" vertical="top" wrapText="1"/>
    </xf>
    <xf numFmtId="0" fontId="59" fillId="0" borderId="0" xfId="0" applyFont="1" applyAlignment="1">
      <alignment vertical="top" wrapText="1"/>
    </xf>
    <xf numFmtId="0" fontId="59" fillId="0" borderId="0" xfId="0" applyFont="1" applyAlignment="1">
      <alignment horizontal="right" vertical="top" wrapText="1"/>
    </xf>
    <xf numFmtId="0" fontId="58" fillId="0" borderId="0" xfId="0" applyFont="1" applyAlignment="1">
      <alignment vertical="top" wrapText="1"/>
    </xf>
    <xf numFmtId="0" fontId="58" fillId="0" borderId="24" xfId="0" applyFont="1" applyBorder="1" applyAlignment="1">
      <alignment vertical="top" wrapText="1"/>
    </xf>
    <xf numFmtId="0" fontId="59" fillId="0" borderId="26" xfId="0" applyFont="1" applyBorder="1" applyAlignment="1">
      <alignment vertical="top" wrapText="1"/>
    </xf>
    <xf numFmtId="0" fontId="59" fillId="0" borderId="26" xfId="0" applyFont="1" applyBorder="1" applyAlignment="1">
      <alignment horizontal="right" vertical="top" wrapText="1"/>
    </xf>
    <xf numFmtId="0" fontId="58" fillId="0" borderId="26" xfId="0" applyFont="1" applyBorder="1" applyAlignment="1">
      <alignment horizontal="right" vertical="top" wrapText="1"/>
    </xf>
    <xf numFmtId="0" fontId="58" fillId="0" borderId="26" xfId="0" applyFont="1" applyBorder="1" applyAlignment="1">
      <alignment vertical="top" wrapText="1"/>
    </xf>
    <xf numFmtId="0" fontId="58" fillId="0" borderId="29" xfId="0" applyFont="1" applyBorder="1" applyAlignment="1">
      <alignment horizontal="right" vertical="top" wrapText="1"/>
    </xf>
    <xf numFmtId="0" fontId="58" fillId="0" borderId="31" xfId="0" applyFont="1" applyBorder="1" applyAlignment="1">
      <alignment horizontal="right" vertical="top" wrapText="1"/>
    </xf>
    <xf numFmtId="0" fontId="61" fillId="0" borderId="0" xfId="0" applyFont="1" applyAlignment="1">
      <alignment horizontal="justify"/>
    </xf>
    <xf numFmtId="0" fontId="15" fillId="0" borderId="2" xfId="0" applyFont="1" applyBorder="1" applyAlignment="1">
      <alignment horizontal="center" vertical="center"/>
    </xf>
    <xf numFmtId="0" fontId="15" fillId="0" borderId="5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5" fillId="0" borderId="2" xfId="0" applyFont="1" applyBorder="1" applyAlignment="1">
      <alignment horizontal="left" vertical="top" wrapText="1"/>
    </xf>
    <xf numFmtId="0" fontId="15" fillId="0" borderId="4" xfId="0" applyFont="1" applyBorder="1" applyAlignment="1">
      <alignment horizontal="left" vertical="top" wrapText="1"/>
    </xf>
    <xf numFmtId="0" fontId="27" fillId="0" borderId="5" xfId="0" applyFont="1" applyFill="1" applyBorder="1" applyAlignment="1">
      <alignment horizontal="center" vertical="center"/>
    </xf>
    <xf numFmtId="0" fontId="27" fillId="0" borderId="4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27" fillId="0" borderId="2" xfId="0" applyFont="1" applyFill="1" applyBorder="1" applyAlignment="1">
      <alignment horizontal="center" vertical="center"/>
    </xf>
    <xf numFmtId="0" fontId="18" fillId="0" borderId="2" xfId="0" applyFont="1" applyBorder="1" applyAlignment="1">
      <alignment horizontal="center"/>
    </xf>
    <xf numFmtId="0" fontId="18" fillId="0" borderId="4" xfId="0" applyFont="1" applyBorder="1" applyAlignment="1">
      <alignment horizontal="center"/>
    </xf>
    <xf numFmtId="0" fontId="15" fillId="0" borderId="2" xfId="0" applyFont="1" applyBorder="1" applyAlignment="1">
      <alignment horizontal="center"/>
    </xf>
    <xf numFmtId="0" fontId="15" fillId="0" borderId="5" xfId="0" applyFont="1" applyBorder="1" applyAlignment="1">
      <alignment horizontal="center"/>
    </xf>
    <xf numFmtId="0" fontId="15" fillId="0" borderId="4" xfId="0" applyFont="1" applyBorder="1" applyAlignment="1">
      <alignment horizontal="center"/>
    </xf>
    <xf numFmtId="0" fontId="15" fillId="0" borderId="9" xfId="0" applyFont="1" applyBorder="1" applyAlignment="1">
      <alignment horizontal="center" vertical="center"/>
    </xf>
    <xf numFmtId="0" fontId="15" fillId="0" borderId="13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  <xf numFmtId="0" fontId="11" fillId="0" borderId="0" xfId="0" applyFont="1" applyAlignment="1">
      <alignment horizontal="right"/>
    </xf>
    <xf numFmtId="0" fontId="10" fillId="0" borderId="0" xfId="0" applyFont="1" applyAlignment="1">
      <alignment horizontal="center"/>
    </xf>
    <xf numFmtId="0" fontId="27" fillId="2" borderId="8" xfId="0" applyFont="1" applyFill="1" applyBorder="1" applyAlignment="1">
      <alignment horizontal="center"/>
    </xf>
    <xf numFmtId="0" fontId="27" fillId="2" borderId="6" xfId="0" applyFont="1" applyFill="1" applyBorder="1" applyAlignment="1">
      <alignment horizontal="center"/>
    </xf>
    <xf numFmtId="0" fontId="27" fillId="2" borderId="3" xfId="0" applyFont="1" applyFill="1" applyBorder="1" applyAlignment="1">
      <alignment horizontal="center"/>
    </xf>
    <xf numFmtId="0" fontId="15" fillId="0" borderId="2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43" fontId="15" fillId="0" borderId="2" xfId="0" applyNumberFormat="1" applyFont="1" applyFill="1" applyBorder="1" applyAlignment="1">
      <alignment horizontal="center" vertical="center" wrapText="1"/>
    </xf>
    <xf numFmtId="43" fontId="15" fillId="0" borderId="5" xfId="0" applyNumberFormat="1" applyFont="1" applyFill="1" applyBorder="1" applyAlignment="1">
      <alignment horizontal="center" vertical="center" wrapText="1"/>
    </xf>
    <xf numFmtId="43" fontId="15" fillId="0" borderId="4" xfId="0" applyNumberFormat="1" applyFont="1" applyFill="1" applyBorder="1" applyAlignment="1">
      <alignment horizontal="center" vertical="center" wrapText="1"/>
    </xf>
    <xf numFmtId="0" fontId="15" fillId="0" borderId="10" xfId="0" applyFont="1" applyFill="1" applyBorder="1" applyAlignment="1">
      <alignment horizontal="center" vertical="center"/>
    </xf>
    <xf numFmtId="0" fontId="15" fillId="0" borderId="9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2" xfId="0" quotePrefix="1" applyFont="1" applyBorder="1" applyAlignment="1">
      <alignment horizontal="center" vertical="center"/>
    </xf>
    <xf numFmtId="0" fontId="15" fillId="0" borderId="4" xfId="0" quotePrefix="1" applyFont="1" applyBorder="1" applyAlignment="1">
      <alignment horizontal="center" vertical="center"/>
    </xf>
    <xf numFmtId="0" fontId="20" fillId="0" borderId="8" xfId="0" applyFont="1" applyBorder="1" applyAlignment="1">
      <alignment horizontal="left"/>
    </xf>
    <xf numFmtId="0" fontId="20" fillId="0" borderId="6" xfId="0" applyFont="1" applyBorder="1" applyAlignment="1">
      <alignment horizontal="left"/>
    </xf>
    <xf numFmtId="0" fontId="20" fillId="0" borderId="3" xfId="0" applyFont="1" applyBorder="1" applyAlignment="1">
      <alignment horizontal="left"/>
    </xf>
    <xf numFmtId="0" fontId="17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5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center" vertical="top" wrapText="1"/>
    </xf>
    <xf numFmtId="0" fontId="17" fillId="0" borderId="2" xfId="0" applyFont="1" applyBorder="1" applyAlignment="1">
      <alignment horizontal="center" vertical="center"/>
    </xf>
    <xf numFmtId="0" fontId="17" fillId="0" borderId="5" xfId="0" applyFont="1" applyBorder="1" applyAlignment="1">
      <alignment horizontal="center" vertical="center"/>
    </xf>
    <xf numFmtId="0" fontId="17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17" fillId="0" borderId="5" xfId="0" applyFont="1" applyBorder="1" applyAlignment="1">
      <alignment horizontal="center"/>
    </xf>
    <xf numFmtId="0" fontId="17" fillId="0" borderId="4" xfId="0" applyFont="1" applyBorder="1" applyAlignment="1">
      <alignment horizontal="center"/>
    </xf>
    <xf numFmtId="0" fontId="29" fillId="0" borderId="0" xfId="0" applyFont="1" applyAlignment="1">
      <alignment horizontal="center"/>
    </xf>
    <xf numFmtId="0" fontId="29" fillId="0" borderId="0" xfId="0" applyFont="1" applyAlignment="1">
      <alignment horizontal="center" vertical="top" wrapText="1"/>
    </xf>
    <xf numFmtId="0" fontId="15" fillId="0" borderId="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9" fillId="0" borderId="0" xfId="0" applyFont="1" applyAlignment="1">
      <alignment horizontal="right"/>
    </xf>
    <xf numFmtId="0" fontId="16" fillId="0" borderId="3" xfId="0" applyFont="1" applyBorder="1" applyAlignment="1">
      <alignment horizontal="left"/>
    </xf>
    <xf numFmtId="0" fontId="16" fillId="0" borderId="1" xfId="0" applyFont="1" applyBorder="1" applyAlignment="1">
      <alignment horizontal="left"/>
    </xf>
    <xf numFmtId="0" fontId="15" fillId="0" borderId="3" xfId="0" applyFont="1" applyBorder="1" applyAlignment="1">
      <alignment horizontal="center" vertical="center"/>
    </xf>
    <xf numFmtId="0" fontId="26" fillId="0" borderId="2" xfId="0" applyFont="1" applyBorder="1" applyAlignment="1">
      <alignment horizontal="center" vertical="center" wrapText="1"/>
    </xf>
    <xf numFmtId="0" fontId="26" fillId="0" borderId="5" xfId="0" applyFont="1" applyBorder="1" applyAlignment="1">
      <alignment horizontal="center" vertical="center" wrapText="1"/>
    </xf>
    <xf numFmtId="0" fontId="26" fillId="0" borderId="4" xfId="0" applyFont="1" applyBorder="1" applyAlignment="1">
      <alignment horizontal="center" vertical="center" wrapText="1"/>
    </xf>
    <xf numFmtId="0" fontId="16" fillId="0" borderId="8" xfId="0" applyFont="1" applyBorder="1" applyAlignment="1">
      <alignment horizontal="center"/>
    </xf>
    <xf numFmtId="0" fontId="16" fillId="0" borderId="6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43" fontId="0" fillId="0" borderId="0" xfId="0" applyNumberFormat="1" applyAlignment="1">
      <alignment horizontal="center"/>
    </xf>
    <xf numFmtId="0" fontId="14" fillId="0" borderId="1" xfId="0" applyFont="1" applyBorder="1" applyAlignment="1">
      <alignment horizontal="left"/>
    </xf>
    <xf numFmtId="0" fontId="27" fillId="0" borderId="1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43" fontId="2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0" fontId="2" fillId="0" borderId="0" xfId="0" applyFont="1" applyBorder="1" applyAlignment="1">
      <alignment horizontal="center"/>
    </xf>
    <xf numFmtId="0" fontId="35" fillId="0" borderId="0" xfId="0" applyFont="1" applyAlignment="1">
      <alignment horizontal="center" vertical="center" wrapText="1"/>
    </xf>
    <xf numFmtId="0" fontId="35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1" fillId="0" borderId="0" xfId="0" applyFont="1" applyAlignment="1">
      <alignment horizontal="center"/>
    </xf>
    <xf numFmtId="0" fontId="22" fillId="0" borderId="0" xfId="0" applyFont="1" applyAlignment="1">
      <alignment horizontal="center" wrapText="1"/>
    </xf>
    <xf numFmtId="0" fontId="22" fillId="0" borderId="0" xfId="0" applyFont="1" applyAlignment="1">
      <alignment horizontal="center" vertical="top" wrapText="1"/>
    </xf>
    <xf numFmtId="0" fontId="22" fillId="0" borderId="0" xfId="0" applyFont="1" applyAlignment="1">
      <alignment horizontal="center" vertical="center" wrapText="1"/>
    </xf>
    <xf numFmtId="0" fontId="41" fillId="0" borderId="1" xfId="0" applyFont="1" applyBorder="1" applyAlignment="1">
      <alignment horizontal="center"/>
    </xf>
    <xf numFmtId="0" fontId="10" fillId="0" borderId="8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40" fillId="0" borderId="0" xfId="0" applyFont="1" applyAlignment="1">
      <alignment horizontal="center" wrapText="1"/>
    </xf>
    <xf numFmtId="0" fontId="43" fillId="0" borderId="1" xfId="0" applyFont="1" applyBorder="1" applyAlignment="1">
      <alignment horizontal="center" vertical="center"/>
    </xf>
    <xf numFmtId="0" fontId="43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1" fillId="3" borderId="8" xfId="0" applyFont="1" applyFill="1" applyBorder="1" applyAlignment="1">
      <alignment horizontal="center" vertical="center"/>
    </xf>
    <xf numFmtId="0" fontId="11" fillId="3" borderId="3" xfId="0" applyFont="1" applyFill="1" applyBorder="1" applyAlignment="1">
      <alignment horizontal="center" vertical="center"/>
    </xf>
    <xf numFmtId="0" fontId="22" fillId="0" borderId="0" xfId="0" applyFont="1" applyAlignment="1">
      <alignment horizontal="center"/>
    </xf>
    <xf numFmtId="43" fontId="11" fillId="0" borderId="0" xfId="0" applyNumberFormat="1" applyFont="1" applyBorder="1" applyAlignment="1">
      <alignment horizontal="right"/>
    </xf>
    <xf numFmtId="0" fontId="13" fillId="0" borderId="8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30" fillId="0" borderId="8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11" fillId="0" borderId="8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8" xfId="0" applyFont="1" applyBorder="1" applyAlignment="1">
      <alignment horizontal="left" vertical="top" wrapText="1"/>
    </xf>
    <xf numFmtId="0" fontId="11" fillId="0" borderId="3" xfId="0" applyFont="1" applyBorder="1" applyAlignment="1">
      <alignment horizontal="left" vertical="top" wrapText="1"/>
    </xf>
    <xf numFmtId="0" fontId="10" fillId="0" borderId="0" xfId="0" applyFont="1" applyAlignment="1">
      <alignment horizontal="center" vertical="top" wrapText="1"/>
    </xf>
    <xf numFmtId="0" fontId="15" fillId="0" borderId="10" xfId="0" applyFont="1" applyBorder="1" applyAlignment="1">
      <alignment horizontal="center"/>
    </xf>
    <xf numFmtId="0" fontId="15" fillId="0" borderId="11" xfId="0" applyFont="1" applyBorder="1" applyAlignment="1">
      <alignment horizontal="center"/>
    </xf>
    <xf numFmtId="0" fontId="27" fillId="0" borderId="11" xfId="0" applyFont="1" applyBorder="1" applyAlignment="1">
      <alignment horizontal="left"/>
    </xf>
    <xf numFmtId="0" fontId="27" fillId="0" borderId="6" xfId="0" applyFont="1" applyBorder="1" applyAlignment="1">
      <alignment horizontal="left"/>
    </xf>
    <xf numFmtId="0" fontId="27" fillId="0" borderId="3" xfId="0" applyFont="1" applyBorder="1" applyAlignment="1">
      <alignment horizontal="left"/>
    </xf>
    <xf numFmtId="0" fontId="15" fillId="0" borderId="7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left"/>
    </xf>
    <xf numFmtId="0" fontId="15" fillId="0" borderId="6" xfId="0" applyFont="1" applyBorder="1" applyAlignment="1">
      <alignment horizontal="left"/>
    </xf>
    <xf numFmtId="0" fontId="14" fillId="0" borderId="1" xfId="0" applyFont="1" applyBorder="1" applyAlignment="1">
      <alignment horizontal="center"/>
    </xf>
    <xf numFmtId="0" fontId="35" fillId="0" borderId="0" xfId="0" applyFont="1" applyFill="1" applyAlignment="1">
      <alignment horizontal="center"/>
    </xf>
    <xf numFmtId="0" fontId="15" fillId="0" borderId="10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26" fillId="0" borderId="1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6" fillId="0" borderId="9" xfId="0" applyFont="1" applyBorder="1" applyAlignment="1">
      <alignment horizontal="center" vertical="top" wrapText="1"/>
    </xf>
    <xf numFmtId="0" fontId="26" fillId="0" borderId="13" xfId="0" applyFont="1" applyBorder="1" applyAlignment="1">
      <alignment horizontal="center" vertical="top" wrapText="1"/>
    </xf>
    <xf numFmtId="0" fontId="26" fillId="0" borderId="12" xfId="0" applyFont="1" applyBorder="1" applyAlignment="1">
      <alignment horizontal="center" vertical="top" wrapText="1"/>
    </xf>
    <xf numFmtId="0" fontId="26" fillId="0" borderId="1" xfId="0" applyFont="1" applyFill="1" applyBorder="1" applyAlignment="1">
      <alignment horizontal="center" vertical="top" wrapText="1"/>
    </xf>
    <xf numFmtId="0" fontId="16" fillId="0" borderId="1" xfId="0" applyFont="1" applyBorder="1" applyAlignment="1">
      <alignment horizontal="center"/>
    </xf>
    <xf numFmtId="0" fontId="35" fillId="0" borderId="0" xfId="0" applyFont="1" applyFill="1" applyAlignment="1">
      <alignment horizontal="center" vertical="top" wrapText="1"/>
    </xf>
    <xf numFmtId="0" fontId="15" fillId="0" borderId="0" xfId="0" applyFont="1" applyAlignment="1">
      <alignment horizontal="right"/>
    </xf>
    <xf numFmtId="0" fontId="26" fillId="0" borderId="0" xfId="0" applyFont="1" applyAlignment="1">
      <alignment horizontal="left"/>
    </xf>
    <xf numFmtId="0" fontId="35" fillId="0" borderId="0" xfId="0" applyFont="1" applyAlignment="1">
      <alignment horizontal="center" wrapText="1"/>
    </xf>
    <xf numFmtId="0" fontId="27" fillId="0" borderId="20" xfId="0" applyFont="1" applyBorder="1" applyAlignment="1">
      <alignment horizontal="center"/>
    </xf>
    <xf numFmtId="0" fontId="50" fillId="0" borderId="8" xfId="0" applyFont="1" applyBorder="1" applyAlignment="1">
      <alignment horizontal="center" vertical="center"/>
    </xf>
    <xf numFmtId="0" fontId="50" fillId="0" borderId="6" xfId="0" applyFont="1" applyBorder="1" applyAlignment="1">
      <alignment horizontal="center" vertical="center"/>
    </xf>
    <xf numFmtId="0" fontId="50" fillId="0" borderId="3" xfId="0" applyFont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 wrapText="1"/>
    </xf>
    <xf numFmtId="0" fontId="24" fillId="0" borderId="4" xfId="0" applyFont="1" applyFill="1" applyBorder="1" applyAlignment="1">
      <alignment horizontal="center" vertical="center" wrapText="1"/>
    </xf>
    <xf numFmtId="0" fontId="22" fillId="0" borderId="0" xfId="0" applyFont="1" applyBorder="1" applyAlignment="1">
      <alignment horizontal="center" vertical="center" wrapText="1"/>
    </xf>
    <xf numFmtId="0" fontId="49" fillId="0" borderId="0" xfId="0" applyFont="1" applyAlignment="1">
      <alignment horizontal="center"/>
    </xf>
    <xf numFmtId="0" fontId="24" fillId="0" borderId="2" xfId="0" applyFont="1" applyFill="1" applyBorder="1" applyAlignment="1">
      <alignment horizontal="center" vertical="center"/>
    </xf>
    <xf numFmtId="0" fontId="24" fillId="0" borderId="4" xfId="0" applyFont="1" applyFill="1" applyBorder="1" applyAlignment="1">
      <alignment horizontal="center" vertical="center"/>
    </xf>
    <xf numFmtId="0" fontId="12" fillId="0" borderId="0" xfId="0" applyFont="1" applyAlignment="1">
      <alignment horizontal="right"/>
    </xf>
    <xf numFmtId="0" fontId="22" fillId="0" borderId="0" xfId="0" applyFont="1" applyFill="1" applyAlignment="1">
      <alignment horizontal="center" wrapText="1"/>
    </xf>
    <xf numFmtId="0" fontId="22" fillId="0" borderId="0" xfId="0" applyFont="1" applyFill="1" applyAlignment="1">
      <alignment horizontal="center"/>
    </xf>
    <xf numFmtId="0" fontId="11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2" xfId="0" applyFont="1" applyBorder="1" applyAlignment="1">
      <alignment horizontal="left" vertical="top" wrapText="1"/>
    </xf>
    <xf numFmtId="0" fontId="12" fillId="0" borderId="4" xfId="0" applyFont="1" applyBorder="1" applyAlignment="1">
      <alignment horizontal="left" vertical="top" wrapText="1"/>
    </xf>
    <xf numFmtId="0" fontId="58" fillId="0" borderId="29" xfId="0" applyFont="1" applyBorder="1" applyAlignment="1">
      <alignment horizontal="right" vertical="top" wrapText="1"/>
    </xf>
    <xf numFmtId="0" fontId="58" fillId="0" borderId="30" xfId="0" applyFont="1" applyBorder="1" applyAlignment="1">
      <alignment horizontal="right" vertical="top" wrapText="1"/>
    </xf>
    <xf numFmtId="0" fontId="59" fillId="0" borderId="27" xfId="0" applyFont="1" applyBorder="1" applyAlignment="1">
      <alignment vertical="top" wrapText="1"/>
    </xf>
    <xf numFmtId="0" fontId="58" fillId="0" borderId="26" xfId="0" applyFont="1" applyBorder="1" applyAlignment="1">
      <alignment horizontal="right" vertical="top" wrapText="1"/>
    </xf>
    <xf numFmtId="0" fontId="58" fillId="0" borderId="28" xfId="0" applyFont="1" applyBorder="1" applyAlignment="1">
      <alignment horizontal="right" vertical="top" wrapText="1"/>
    </xf>
    <xf numFmtId="0" fontId="58" fillId="0" borderId="31" xfId="0" applyFont="1" applyBorder="1" applyAlignment="1">
      <alignment horizontal="right" vertical="top" wrapText="1"/>
    </xf>
    <xf numFmtId="0" fontId="58" fillId="0" borderId="32" xfId="0" applyFont="1" applyBorder="1" applyAlignment="1">
      <alignment horizontal="right" vertical="top" wrapText="1"/>
    </xf>
    <xf numFmtId="0" fontId="58" fillId="0" borderId="27" xfId="0" applyFont="1" applyBorder="1" applyAlignment="1">
      <alignment vertical="top" wrapText="1"/>
    </xf>
    <xf numFmtId="0" fontId="58" fillId="0" borderId="31" xfId="0" applyFont="1" applyBorder="1" applyAlignment="1">
      <alignment horizontal="center" vertical="top" wrapText="1"/>
    </xf>
    <xf numFmtId="0" fontId="58" fillId="0" borderId="32" xfId="0" applyFont="1" applyBorder="1" applyAlignment="1">
      <alignment horizontal="center" vertical="top" wrapText="1"/>
    </xf>
    <xf numFmtId="0" fontId="59" fillId="0" borderId="26" xfId="0" applyFont="1" applyBorder="1" applyAlignment="1">
      <alignment horizontal="right" vertical="top" wrapText="1"/>
    </xf>
    <xf numFmtId="0" fontId="59" fillId="0" borderId="28" xfId="0" applyFont="1" applyBorder="1" applyAlignment="1">
      <alignment horizontal="right" vertical="top" wrapText="1"/>
    </xf>
    <xf numFmtId="0" fontId="57" fillId="0" borderId="0" xfId="0" applyFont="1" applyAlignment="1">
      <alignment horizontal="right" vertical="top" wrapText="1"/>
    </xf>
    <xf numFmtId="0" fontId="59" fillId="0" borderId="0" xfId="0" applyFont="1" applyAlignment="1">
      <alignment horizontal="center" vertical="top" wrapText="1"/>
    </xf>
    <xf numFmtId="0" fontId="58" fillId="0" borderId="24" xfId="0" applyFont="1" applyBorder="1" applyAlignment="1">
      <alignment vertical="top" wrapText="1"/>
    </xf>
    <xf numFmtId="0" fontId="58" fillId="0" borderId="25" xfId="0" applyFont="1" applyBorder="1" applyAlignment="1">
      <alignment vertical="top" wrapText="1"/>
    </xf>
    <xf numFmtId="0" fontId="59" fillId="0" borderId="29" xfId="0" applyFont="1" applyBorder="1" applyAlignment="1">
      <alignment horizontal="right" vertical="top" wrapText="1"/>
    </xf>
    <xf numFmtId="0" fontId="59" fillId="0" borderId="30" xfId="0" applyFont="1" applyBorder="1" applyAlignment="1">
      <alignment horizontal="right" vertical="top" wrapText="1"/>
    </xf>
    <xf numFmtId="0" fontId="60" fillId="0" borderId="0" xfId="0" applyFont="1" applyAlignment="1">
      <alignment horizontal="left" wrapText="1"/>
    </xf>
    <xf numFmtId="0" fontId="60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62" fillId="0" borderId="0" xfId="0" applyFont="1" applyAlignment="1">
      <alignment horizontal="center" wrapText="1"/>
    </xf>
    <xf numFmtId="0" fontId="62" fillId="0" borderId="0" xfId="0" applyFont="1" applyAlignment="1">
      <alignment horizontal="center"/>
    </xf>
    <xf numFmtId="0" fontId="63" fillId="0" borderId="0" xfId="0" applyFont="1"/>
    <xf numFmtId="0" fontId="65" fillId="0" borderId="2" xfId="2" applyFont="1" applyBorder="1" applyAlignment="1">
      <alignment horizontal="center" vertical="center"/>
    </xf>
    <xf numFmtId="0" fontId="65" fillId="0" borderId="2" xfId="2" applyFont="1" applyBorder="1" applyAlignment="1">
      <alignment wrapText="1"/>
    </xf>
    <xf numFmtId="0" fontId="65" fillId="0" borderId="2" xfId="0" applyFont="1" applyBorder="1" applyAlignment="1">
      <alignment horizontal="center" vertical="center" wrapText="1"/>
    </xf>
    <xf numFmtId="0" fontId="65" fillId="0" borderId="4" xfId="2" applyFont="1" applyBorder="1" applyAlignment="1">
      <alignment horizontal="center" vertical="center"/>
    </xf>
    <xf numFmtId="0" fontId="65" fillId="0" borderId="4" xfId="2" applyFont="1" applyBorder="1"/>
    <xf numFmtId="0" fontId="65" fillId="0" borderId="4" xfId="0" applyFont="1" applyBorder="1" applyAlignment="1">
      <alignment horizontal="center" vertical="center" wrapText="1"/>
    </xf>
    <xf numFmtId="0" fontId="65" fillId="0" borderId="1" xfId="0" applyFont="1" applyBorder="1" applyAlignment="1">
      <alignment horizontal="center" vertical="center"/>
    </xf>
    <xf numFmtId="168" fontId="65" fillId="0" borderId="1" xfId="1" applyNumberFormat="1" applyFont="1" applyBorder="1"/>
    <xf numFmtId="4" fontId="65" fillId="0" borderId="1" xfId="1" applyNumberFormat="1" applyFont="1" applyBorder="1"/>
    <xf numFmtId="4" fontId="65" fillId="0" borderId="1" xfId="0" applyNumberFormat="1" applyFont="1" applyBorder="1"/>
    <xf numFmtId="0" fontId="65" fillId="0" borderId="1" xfId="0" applyFont="1" applyBorder="1"/>
  </cellXfs>
  <cellStyles count="3">
    <cellStyle name="Dziesiętny" xfId="1" builtinId="3"/>
    <cellStyle name="Normalny" xfId="0" builtinId="0"/>
    <cellStyle name="Normalny 2" xfId="2"/>
  </cellStyles>
  <dxfs count="0"/>
  <tableStyles count="0" defaultTableStyle="TableStyleMedium9" defaultPivotStyle="PivotStyleLight16"/>
  <colors>
    <mruColors>
      <color rgb="FF561F1E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title>
      <c:tx>
        <c:rich>
          <a:bodyPr/>
          <a:lstStyle/>
          <a:p>
            <a:pPr>
              <a:defRPr sz="14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pl-PL" sz="1400"/>
              <a:t>Wykonanie dochodów Powiatu Białogardzkiego w 2010 roku</a:t>
            </a:r>
          </a:p>
        </c:rich>
      </c:tx>
      <c:layout>
        <c:manualLayout>
          <c:xMode val="edge"/>
          <c:yMode val="edge"/>
          <c:x val="0.16517428605006471"/>
          <c:y val="2.5171624713958809E-2"/>
        </c:manualLayout>
      </c:layout>
      <c:spPr>
        <a:noFill/>
        <a:ln w="25400">
          <a:noFill/>
        </a:ln>
      </c:spPr>
    </c:title>
    <c:view3D>
      <c:hPercent val="149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gradFill flip="none" rotWithShape="1">
          <a:gsLst>
            <a:gs pos="0">
              <a:srgbClr val="FFEFD1"/>
            </a:gs>
            <a:gs pos="64999">
              <a:srgbClr val="F0EBD5"/>
            </a:gs>
            <a:gs pos="100000">
              <a:srgbClr val="D1C39F"/>
            </a:gs>
          </a:gsLst>
          <a:lin ang="5400000" scaled="0"/>
          <a:tileRect/>
        </a:gra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0.19253745374989575"/>
          <c:y val="7.0752830701325833E-2"/>
          <c:w val="0.65933218651568215"/>
          <c:h val="0.85830945397584801"/>
        </c:manualLayout>
      </c:layout>
      <c:bar3DChart>
        <c:barDir val="col"/>
        <c:grouping val="clustered"/>
        <c:ser>
          <c:idx val="0"/>
          <c:order val="0"/>
          <c:tx>
            <c:v>Plan</c:v>
          </c:tx>
          <c:spPr>
            <a:solidFill>
              <a:srgbClr val="FF000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'wykres dochodów'!$A$3:$A$19</c:f>
              <c:strCache>
                <c:ptCount val="17"/>
                <c:pt idx="0">
                  <c:v>010</c:v>
                </c:pt>
                <c:pt idx="1">
                  <c:v>020</c:v>
                </c:pt>
                <c:pt idx="2">
                  <c:v>600</c:v>
                </c:pt>
                <c:pt idx="3">
                  <c:v>700</c:v>
                </c:pt>
                <c:pt idx="4">
                  <c:v>710</c:v>
                </c:pt>
                <c:pt idx="5">
                  <c:v>750</c:v>
                </c:pt>
                <c:pt idx="6">
                  <c:v>751</c:v>
                </c:pt>
                <c:pt idx="7">
                  <c:v>754</c:v>
                </c:pt>
                <c:pt idx="8">
                  <c:v>756</c:v>
                </c:pt>
                <c:pt idx="9">
                  <c:v>758</c:v>
                </c:pt>
                <c:pt idx="10">
                  <c:v>801</c:v>
                </c:pt>
                <c:pt idx="11">
                  <c:v>851</c:v>
                </c:pt>
                <c:pt idx="12">
                  <c:v>852</c:v>
                </c:pt>
                <c:pt idx="13">
                  <c:v>853</c:v>
                </c:pt>
                <c:pt idx="14">
                  <c:v>854</c:v>
                </c:pt>
                <c:pt idx="15">
                  <c:v>900</c:v>
                </c:pt>
                <c:pt idx="16">
                  <c:v>926</c:v>
                </c:pt>
              </c:strCache>
            </c:strRef>
          </c:cat>
          <c:val>
            <c:numRef>
              <c:f>'wykres dochodów'!$B$3:$B$19</c:f>
              <c:numCache>
                <c:formatCode>_-* #,##0\ _z_ł_-;\-* #,##0\ _z_ł_-;_-* "-"??\ _z_ł_-;_-@_-</c:formatCode>
                <c:ptCount val="17"/>
                <c:pt idx="0">
                  <c:v>120000</c:v>
                </c:pt>
                <c:pt idx="1">
                  <c:v>271840.53000000003</c:v>
                </c:pt>
                <c:pt idx="2">
                  <c:v>758818.69</c:v>
                </c:pt>
                <c:pt idx="3">
                  <c:v>183600</c:v>
                </c:pt>
                <c:pt idx="4">
                  <c:v>369173</c:v>
                </c:pt>
                <c:pt idx="5">
                  <c:v>1561070.15</c:v>
                </c:pt>
                <c:pt idx="6">
                  <c:v>16251</c:v>
                </c:pt>
                <c:pt idx="7">
                  <c:v>3691586</c:v>
                </c:pt>
                <c:pt idx="8">
                  <c:v>5899797</c:v>
                </c:pt>
                <c:pt idx="9">
                  <c:v>28161325</c:v>
                </c:pt>
                <c:pt idx="10">
                  <c:v>837830.39</c:v>
                </c:pt>
                <c:pt idx="11">
                  <c:v>2302000</c:v>
                </c:pt>
                <c:pt idx="12">
                  <c:v>4678136.97</c:v>
                </c:pt>
                <c:pt idx="13">
                  <c:v>2292662.13</c:v>
                </c:pt>
                <c:pt idx="14">
                  <c:v>153667</c:v>
                </c:pt>
                <c:pt idx="15">
                  <c:v>266916</c:v>
                </c:pt>
                <c:pt idx="16">
                  <c:v>654000</c:v>
                </c:pt>
              </c:numCache>
            </c:numRef>
          </c:val>
        </c:ser>
        <c:ser>
          <c:idx val="1"/>
          <c:order val="1"/>
          <c:tx>
            <c:v>Wykonanie</c:v>
          </c:tx>
          <c:spPr>
            <a:solidFill>
              <a:srgbClr val="00B05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'wykres dochodów'!$A$3:$A$19</c:f>
              <c:strCache>
                <c:ptCount val="17"/>
                <c:pt idx="0">
                  <c:v>010</c:v>
                </c:pt>
                <c:pt idx="1">
                  <c:v>020</c:v>
                </c:pt>
                <c:pt idx="2">
                  <c:v>600</c:v>
                </c:pt>
                <c:pt idx="3">
                  <c:v>700</c:v>
                </c:pt>
                <c:pt idx="4">
                  <c:v>710</c:v>
                </c:pt>
                <c:pt idx="5">
                  <c:v>750</c:v>
                </c:pt>
                <c:pt idx="6">
                  <c:v>751</c:v>
                </c:pt>
                <c:pt idx="7">
                  <c:v>754</c:v>
                </c:pt>
                <c:pt idx="8">
                  <c:v>756</c:v>
                </c:pt>
                <c:pt idx="9">
                  <c:v>758</c:v>
                </c:pt>
                <c:pt idx="10">
                  <c:v>801</c:v>
                </c:pt>
                <c:pt idx="11">
                  <c:v>851</c:v>
                </c:pt>
                <c:pt idx="12">
                  <c:v>852</c:v>
                </c:pt>
                <c:pt idx="13">
                  <c:v>853</c:v>
                </c:pt>
                <c:pt idx="14">
                  <c:v>854</c:v>
                </c:pt>
                <c:pt idx="15">
                  <c:v>900</c:v>
                </c:pt>
                <c:pt idx="16">
                  <c:v>926</c:v>
                </c:pt>
              </c:strCache>
            </c:strRef>
          </c:cat>
          <c:val>
            <c:numRef>
              <c:f>'wykres dochodów'!$C$3:$C$19</c:f>
              <c:numCache>
                <c:formatCode>_-* #,##0.00\ _z_ł_-;\-* #,##0.00\ _z_ł_-;_-* "-"??\ _z_ł_-;_-@_-</c:formatCode>
                <c:ptCount val="17"/>
                <c:pt idx="0">
                  <c:v>120078.52</c:v>
                </c:pt>
                <c:pt idx="1">
                  <c:v>261635.43</c:v>
                </c:pt>
                <c:pt idx="2">
                  <c:v>761339.45</c:v>
                </c:pt>
                <c:pt idx="3">
                  <c:v>227359.23</c:v>
                </c:pt>
                <c:pt idx="4">
                  <c:v>369531.94</c:v>
                </c:pt>
                <c:pt idx="5">
                  <c:v>1647385.31</c:v>
                </c:pt>
                <c:pt idx="6">
                  <c:v>16251</c:v>
                </c:pt>
                <c:pt idx="7">
                  <c:v>3711134.86</c:v>
                </c:pt>
                <c:pt idx="8">
                  <c:v>5967139.0899999999</c:v>
                </c:pt>
                <c:pt idx="9">
                  <c:v>28165462.239999998</c:v>
                </c:pt>
                <c:pt idx="10">
                  <c:v>866767.17</c:v>
                </c:pt>
                <c:pt idx="11">
                  <c:v>2174883.0099999998</c:v>
                </c:pt>
                <c:pt idx="12">
                  <c:v>4744363.82</c:v>
                </c:pt>
                <c:pt idx="13">
                  <c:v>2287473.4900000002</c:v>
                </c:pt>
                <c:pt idx="14">
                  <c:v>142121.49</c:v>
                </c:pt>
                <c:pt idx="15">
                  <c:v>260328.24</c:v>
                </c:pt>
                <c:pt idx="16">
                  <c:v>654000</c:v>
                </c:pt>
              </c:numCache>
            </c:numRef>
          </c:val>
        </c:ser>
        <c:shape val="box"/>
        <c:axId val="66219008"/>
        <c:axId val="67121920"/>
        <c:axId val="0"/>
      </c:bar3DChart>
      <c:catAx>
        <c:axId val="6621900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pl-PL"/>
          </a:p>
        </c:txPr>
        <c:crossAx val="67121920"/>
        <c:crosses val="autoZero"/>
        <c:auto val="1"/>
        <c:lblAlgn val="ctr"/>
        <c:lblOffset val="100"/>
        <c:tickLblSkip val="1"/>
        <c:tickMarkSkip val="1"/>
      </c:catAx>
      <c:valAx>
        <c:axId val="67121920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_-* #,##0\ _z_ł_-;\-* #,##0\ _z_ł_-;_-* &quot;-&quot;??\ _z_ł_-;_-@_-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50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pl-PL"/>
          </a:p>
        </c:txPr>
        <c:crossAx val="66219008"/>
        <c:crosses val="autoZero"/>
        <c:crossBetween val="between"/>
      </c:valAx>
      <c:spPr>
        <a:noFill/>
        <a:ln w="25400">
          <a:noFill/>
        </a:ln>
      </c:spPr>
    </c:plotArea>
    <c:legend>
      <c:legendPos val="r"/>
      <c:layout>
        <c:manualLayout>
          <c:xMode val="edge"/>
          <c:yMode val="edge"/>
          <c:x val="0.15141752305920644"/>
          <c:y val="0.9064248800653818"/>
          <c:w val="0.19824704541414859"/>
          <c:h val="4.4622450558702502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Arial CE"/>
              <a:ea typeface="Arial CE"/>
              <a:cs typeface="Arial CE"/>
            </a:defRPr>
          </a:pPr>
          <a:endParaRPr lang="pl-PL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825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pl-PL"/>
    </a:p>
  </c:txPr>
  <c:printSettings>
    <c:headerFooter alignWithMargins="0">
      <c:oddFooter>&amp;RWykres dochodów Powiatu Białogardzkiego w 2010r.</c:oddFooter>
    </c:headerFooter>
    <c:pageMargins b="0.98425196850393659" l="0.74803149606300101" r="0.15748031496063189" t="0.98425196850393659" header="0.51181102362204722" footer="0.51181102362204722"/>
    <c:pageSetup paperSize="9" orientation="portrait" horizontalDpi="-4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pl-PL" sz="1200"/>
              <a:t>Wykonanie wydatków Powiatu Białogardzkiego </a:t>
            </a:r>
          </a:p>
          <a:p>
            <a:pPr>
              <a:defRPr sz="1200" b="1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r>
              <a:rPr lang="pl-PL" sz="1200"/>
              <a:t>w 2010 r.</a:t>
            </a:r>
          </a:p>
        </c:rich>
      </c:tx>
      <c:layout>
        <c:manualLayout>
          <c:xMode val="edge"/>
          <c:yMode val="edge"/>
          <c:x val="0.18704672041615494"/>
          <c:y val="2.5531972437871694E-2"/>
        </c:manualLayout>
      </c:layout>
      <c:spPr>
        <a:noFill/>
        <a:ln w="25400">
          <a:noFill/>
        </a:ln>
      </c:spPr>
    </c:title>
    <c:view3D>
      <c:hPercent val="141"/>
      <c:depthPercent val="100"/>
      <c:rAngAx val="1"/>
    </c:view3D>
    <c:floor>
      <c:spPr>
        <a:solidFill>
          <a:srgbClr val="C0C0C0"/>
        </a:solidFill>
        <a:ln w="3175">
          <a:solidFill>
            <a:srgbClr val="000000"/>
          </a:solidFill>
          <a:prstDash val="solid"/>
        </a:ln>
      </c:spPr>
    </c:floor>
    <c:sideWall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sideWall>
    <c:backWall>
      <c:spPr>
        <a:gradFill>
          <a:gsLst>
            <a:gs pos="0">
              <a:srgbClr val="4F81BD">
                <a:tint val="66000"/>
                <a:satMod val="160000"/>
              </a:srgbClr>
            </a:gs>
            <a:gs pos="50000">
              <a:srgbClr val="4F81BD">
                <a:tint val="44500"/>
                <a:satMod val="160000"/>
              </a:srgbClr>
            </a:gs>
            <a:gs pos="100000">
              <a:srgbClr val="4F81BD">
                <a:tint val="23500"/>
                <a:satMod val="160000"/>
              </a:srgbClr>
            </a:gs>
          </a:gsLst>
          <a:lin ang="5400000" scaled="0"/>
        </a:gradFill>
        <a:ln w="12700">
          <a:solidFill>
            <a:srgbClr val="808080"/>
          </a:solidFill>
          <a:prstDash val="solid"/>
        </a:ln>
      </c:spPr>
    </c:backWall>
    <c:plotArea>
      <c:layout>
        <c:manualLayout>
          <c:layoutTarget val="inner"/>
          <c:xMode val="edge"/>
          <c:yMode val="edge"/>
          <c:x val="0.13185204261001535"/>
          <c:y val="7.6595784468388703E-2"/>
          <c:w val="0.72148252529300538"/>
          <c:h val="0.83936213813274962"/>
        </c:manualLayout>
      </c:layout>
      <c:bar3DChart>
        <c:barDir val="col"/>
        <c:grouping val="clustered"/>
        <c:ser>
          <c:idx val="0"/>
          <c:order val="0"/>
          <c:tx>
            <c:v>Plan</c:v>
          </c:tx>
          <c:spPr>
            <a:solidFill>
              <a:schemeClr val="accent4">
                <a:lumMod val="75000"/>
              </a:schemeClr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'wykres wydatków'!$A$2:$A$78</c:f>
              <c:strCache>
                <c:ptCount val="17"/>
                <c:pt idx="0">
                  <c:v>010</c:v>
                </c:pt>
                <c:pt idx="1">
                  <c:v>020</c:v>
                </c:pt>
                <c:pt idx="2">
                  <c:v>150</c:v>
                </c:pt>
                <c:pt idx="3">
                  <c:v>600</c:v>
                </c:pt>
                <c:pt idx="4">
                  <c:v>700</c:v>
                </c:pt>
                <c:pt idx="5">
                  <c:v>710</c:v>
                </c:pt>
                <c:pt idx="6">
                  <c:v>750</c:v>
                </c:pt>
                <c:pt idx="7">
                  <c:v>751</c:v>
                </c:pt>
                <c:pt idx="8">
                  <c:v>754</c:v>
                </c:pt>
                <c:pt idx="9">
                  <c:v>757</c:v>
                </c:pt>
                <c:pt idx="10">
                  <c:v>801</c:v>
                </c:pt>
                <c:pt idx="11">
                  <c:v>851</c:v>
                </c:pt>
                <c:pt idx="12">
                  <c:v>852</c:v>
                </c:pt>
                <c:pt idx="13">
                  <c:v>853</c:v>
                </c:pt>
                <c:pt idx="14">
                  <c:v>854</c:v>
                </c:pt>
                <c:pt idx="15">
                  <c:v>921</c:v>
                </c:pt>
                <c:pt idx="16">
                  <c:v>926</c:v>
                </c:pt>
              </c:strCache>
            </c:strRef>
          </c:cat>
          <c:val>
            <c:numRef>
              <c:f>'wykres wydatków'!$D$2:$D$78</c:f>
              <c:numCache>
                <c:formatCode>_-* #,##0\ _z_ł_-;\-* #,##0\ _z_ł_-;_-* "-"??\ _z_ł_-;_-@_-</c:formatCode>
                <c:ptCount val="17"/>
                <c:pt idx="0">
                  <c:v>120294</c:v>
                </c:pt>
                <c:pt idx="1">
                  <c:v>306840.53000000003</c:v>
                </c:pt>
                <c:pt idx="2">
                  <c:v>1520</c:v>
                </c:pt>
                <c:pt idx="3">
                  <c:v>8901530.2300000004</c:v>
                </c:pt>
                <c:pt idx="4">
                  <c:v>400032.83</c:v>
                </c:pt>
                <c:pt idx="5">
                  <c:v>369173</c:v>
                </c:pt>
                <c:pt idx="6">
                  <c:v>9028621.4000000004</c:v>
                </c:pt>
                <c:pt idx="7">
                  <c:v>17701.09</c:v>
                </c:pt>
                <c:pt idx="8">
                  <c:v>4177183</c:v>
                </c:pt>
                <c:pt idx="9">
                  <c:v>572174</c:v>
                </c:pt>
                <c:pt idx="10">
                  <c:v>17858039.460000001</c:v>
                </c:pt>
                <c:pt idx="11">
                  <c:v>2998212</c:v>
                </c:pt>
                <c:pt idx="12">
                  <c:v>9537352.7400000002</c:v>
                </c:pt>
                <c:pt idx="13">
                  <c:v>3952444.54</c:v>
                </c:pt>
                <c:pt idx="14">
                  <c:v>4523055.05</c:v>
                </c:pt>
                <c:pt idx="15">
                  <c:v>216500</c:v>
                </c:pt>
                <c:pt idx="16">
                  <c:v>1160121.8400000001</c:v>
                </c:pt>
              </c:numCache>
            </c:numRef>
          </c:val>
        </c:ser>
        <c:ser>
          <c:idx val="1"/>
          <c:order val="1"/>
          <c:tx>
            <c:v>Wykonanie</c:v>
          </c:tx>
          <c:spPr>
            <a:solidFill>
              <a:srgbClr val="92D050"/>
            </a:solidFill>
            <a:ln w="12700">
              <a:solidFill>
                <a:srgbClr val="000000"/>
              </a:solidFill>
              <a:prstDash val="solid"/>
            </a:ln>
          </c:spPr>
          <c:cat>
            <c:strRef>
              <c:f>'wykres wydatków'!$A$2:$A$78</c:f>
              <c:strCache>
                <c:ptCount val="17"/>
                <c:pt idx="0">
                  <c:v>010</c:v>
                </c:pt>
                <c:pt idx="1">
                  <c:v>020</c:v>
                </c:pt>
                <c:pt idx="2">
                  <c:v>150</c:v>
                </c:pt>
                <c:pt idx="3">
                  <c:v>600</c:v>
                </c:pt>
                <c:pt idx="4">
                  <c:v>700</c:v>
                </c:pt>
                <c:pt idx="5">
                  <c:v>710</c:v>
                </c:pt>
                <c:pt idx="6">
                  <c:v>750</c:v>
                </c:pt>
                <c:pt idx="7">
                  <c:v>751</c:v>
                </c:pt>
                <c:pt idx="8">
                  <c:v>754</c:v>
                </c:pt>
                <c:pt idx="9">
                  <c:v>757</c:v>
                </c:pt>
                <c:pt idx="10">
                  <c:v>801</c:v>
                </c:pt>
                <c:pt idx="11">
                  <c:v>851</c:v>
                </c:pt>
                <c:pt idx="12">
                  <c:v>852</c:v>
                </c:pt>
                <c:pt idx="13">
                  <c:v>853</c:v>
                </c:pt>
                <c:pt idx="14">
                  <c:v>854</c:v>
                </c:pt>
                <c:pt idx="15">
                  <c:v>921</c:v>
                </c:pt>
                <c:pt idx="16">
                  <c:v>926</c:v>
                </c:pt>
              </c:strCache>
            </c:strRef>
          </c:cat>
          <c:val>
            <c:numRef>
              <c:f>'wykres wydatków'!$E$2:$E$78</c:f>
              <c:numCache>
                <c:formatCode>_-* #,##0\ _z_ł_-;\-* #,##0\ _z_ł_-;_-* "-"??\ _z_ł_-;_-@_-</c:formatCode>
                <c:ptCount val="17"/>
                <c:pt idx="0">
                  <c:v>120292.16</c:v>
                </c:pt>
                <c:pt idx="1">
                  <c:v>294878.65000000002</c:v>
                </c:pt>
                <c:pt idx="2">
                  <c:v>1519.73</c:v>
                </c:pt>
                <c:pt idx="3">
                  <c:v>8838080.2100000009</c:v>
                </c:pt>
                <c:pt idx="4">
                  <c:v>331498.11</c:v>
                </c:pt>
                <c:pt idx="5">
                  <c:v>369165</c:v>
                </c:pt>
                <c:pt idx="6">
                  <c:v>8696846.3000000007</c:v>
                </c:pt>
                <c:pt idx="7">
                  <c:v>17701.09</c:v>
                </c:pt>
                <c:pt idx="8">
                  <c:v>4079616.7</c:v>
                </c:pt>
                <c:pt idx="9">
                  <c:v>447648.58</c:v>
                </c:pt>
                <c:pt idx="10">
                  <c:v>17092482.370000001</c:v>
                </c:pt>
                <c:pt idx="11">
                  <c:v>2577078.42</c:v>
                </c:pt>
                <c:pt idx="12">
                  <c:v>9233894.0999999996</c:v>
                </c:pt>
                <c:pt idx="13">
                  <c:v>3899904.83</c:v>
                </c:pt>
                <c:pt idx="14">
                  <c:v>4499558.63</c:v>
                </c:pt>
                <c:pt idx="15">
                  <c:v>187652.1</c:v>
                </c:pt>
                <c:pt idx="16">
                  <c:v>1108844.75</c:v>
                </c:pt>
              </c:numCache>
            </c:numRef>
          </c:val>
        </c:ser>
        <c:shape val="box"/>
        <c:axId val="67520768"/>
        <c:axId val="67534848"/>
        <c:axId val="0"/>
      </c:bar3DChart>
      <c:catAx>
        <c:axId val="67520768"/>
        <c:scaling>
          <c:orientation val="minMax"/>
        </c:scaling>
        <c:axPos val="b"/>
        <c:numFmt formatCode="General" sourceLinked="1"/>
        <c:tickLblPos val="low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pl-PL"/>
          </a:p>
        </c:txPr>
        <c:crossAx val="67534848"/>
        <c:crosses val="autoZero"/>
        <c:auto val="1"/>
        <c:lblAlgn val="ctr"/>
        <c:lblOffset val="100"/>
        <c:tickLblSkip val="1"/>
        <c:tickMarkSkip val="1"/>
      </c:catAx>
      <c:valAx>
        <c:axId val="67534848"/>
        <c:scaling>
          <c:orientation val="minMax"/>
        </c:scaling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_-* #,##0\ _z_ł_-;\-* #,##0\ _z_ł_-;_-* &quot;-&quot;??\ _z_ł_-;_-@_-" sourceLinked="1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 CE"/>
                <a:ea typeface="Arial CE"/>
                <a:cs typeface="Arial CE"/>
              </a:defRPr>
            </a:pPr>
            <a:endParaRPr lang="pl-PL"/>
          </a:p>
        </c:txPr>
        <c:crossAx val="67520768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5.3780230926705704E-2"/>
          <c:y val="0.9436574220205165"/>
          <c:w val="0.361369271718328"/>
          <c:h val="4.4378510107688333E-2"/>
        </c:manualLayout>
      </c:layout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Arial CE"/>
              <a:ea typeface="Arial CE"/>
              <a:cs typeface="Arial CE"/>
            </a:defRPr>
          </a:pPr>
          <a:endParaRPr lang="pl-PL"/>
        </a:p>
      </c:txPr>
    </c:legend>
    <c:plotVisOnly val="1"/>
    <c:dispBlanksAs val="gap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825" b="0" i="0" u="none" strike="noStrike" baseline="0">
          <a:solidFill>
            <a:srgbClr val="000000"/>
          </a:solidFill>
          <a:latin typeface="Arial CE"/>
          <a:ea typeface="Arial CE"/>
          <a:cs typeface="Arial CE"/>
        </a:defRPr>
      </a:pPr>
      <a:endParaRPr lang="pl-PL"/>
    </a:p>
  </c:txPr>
  <c:printSettings>
    <c:headerFooter alignWithMargins="0">
      <c:oddFooter>&amp;R&amp;7Wykres wydatków Powiatu Białogardzkiego w I półroczu 2010r.</c:oddFooter>
    </c:headerFooter>
    <c:pageMargins b="1" l="0.18000000000000024" r="0.22" t="1" header="0.5" footer="0.5"/>
    <c:pageSetup paperSize="9" orientation="portrait" horizontalDpi="-4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9</xdr:col>
      <xdr:colOff>3905249</xdr:colOff>
      <xdr:row>84</xdr:row>
      <xdr:rowOff>15874</xdr:rowOff>
    </xdr:to>
    <xdr:graphicFrame macro="">
      <xdr:nvGraphicFramePr>
        <xdr:cNvPr id="5127" name="Chart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9526</xdr:rowOff>
    </xdr:from>
    <xdr:to>
      <xdr:col>9</xdr:col>
      <xdr:colOff>942975</xdr:colOff>
      <xdr:row>93</xdr:row>
      <xdr:rowOff>19051</xdr:rowOff>
    </xdr:to>
    <xdr:graphicFrame macro="">
      <xdr:nvGraphicFramePr>
        <xdr:cNvPr id="2051" name="Chart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TBRD_5/Moje%20dokumenty/bud&#380;et%202010/Tabele2010nowestycze&#324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tab 1"/>
      <sheetName val="wykres1"/>
      <sheetName val="tab 2"/>
      <sheetName val="wykres2"/>
      <sheetName val="tab3"/>
      <sheetName val="tab 4"/>
      <sheetName val="tab 5"/>
      <sheetName val="tab 6"/>
      <sheetName val="tab 7-8"/>
      <sheetName val="tab 9-10"/>
      <sheetName val="tab11"/>
      <sheetName val="tab12"/>
      <sheetName val="tab13"/>
      <sheetName val="tab14"/>
      <sheetName val="zał 15"/>
      <sheetName val="zał1"/>
      <sheetName val="zał2"/>
      <sheetName val="Arkusz1"/>
    </sheetNames>
    <sheetDataSet>
      <sheetData sheetId="0"/>
      <sheetData sheetId="1"/>
      <sheetData sheetId="2">
        <row r="199">
          <cell r="F199">
            <v>35000</v>
          </cell>
        </row>
        <row r="446">
          <cell r="F446">
            <v>6743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215"/>
  <sheetViews>
    <sheetView view="pageLayout" topLeftCell="A25" workbookViewId="0">
      <selection activeCell="D36" sqref="D36"/>
    </sheetView>
  </sheetViews>
  <sheetFormatPr defaultRowHeight="12.75"/>
  <cols>
    <col min="1" max="1" width="3.85546875" customWidth="1"/>
    <col min="2" max="2" width="5.28515625" customWidth="1"/>
    <col min="3" max="3" width="4.28515625" customWidth="1"/>
    <col min="4" max="4" width="30.140625" customWidth="1"/>
    <col min="5" max="5" width="12.7109375" style="238" customWidth="1"/>
    <col min="6" max="6" width="13.28515625" style="37" customWidth="1"/>
    <col min="7" max="7" width="12.5703125" style="37" customWidth="1"/>
    <col min="8" max="8" width="7" customWidth="1"/>
    <col min="9" max="9" width="6.140625" customWidth="1"/>
  </cols>
  <sheetData>
    <row r="1" spans="1:8">
      <c r="A1" s="42"/>
      <c r="B1" s="42"/>
      <c r="C1" s="42"/>
      <c r="D1" s="557" t="s">
        <v>301</v>
      </c>
      <c r="E1" s="557"/>
      <c r="F1" s="557"/>
      <c r="G1" s="557"/>
      <c r="H1" s="557"/>
    </row>
    <row r="2" spans="1:8">
      <c r="A2" s="558" t="s">
        <v>2</v>
      </c>
      <c r="B2" s="558"/>
      <c r="C2" s="558"/>
      <c r="D2" s="558"/>
      <c r="E2" s="558"/>
      <c r="F2" s="558"/>
      <c r="G2" s="558"/>
      <c r="H2" s="558"/>
    </row>
    <row r="3" spans="1:8">
      <c r="A3" s="558" t="s">
        <v>3</v>
      </c>
      <c r="B3" s="558"/>
      <c r="C3" s="558"/>
      <c r="D3" s="558"/>
      <c r="E3" s="558"/>
      <c r="F3" s="558"/>
      <c r="G3" s="558"/>
      <c r="H3" s="558"/>
    </row>
    <row r="4" spans="1:8">
      <c r="A4" s="558" t="s">
        <v>4</v>
      </c>
      <c r="B4" s="558"/>
      <c r="C4" s="558"/>
      <c r="D4" s="558"/>
      <c r="E4" s="558"/>
      <c r="F4" s="558"/>
      <c r="G4" s="558"/>
      <c r="H4" s="558"/>
    </row>
    <row r="5" spans="1:8">
      <c r="A5" s="558" t="s">
        <v>353</v>
      </c>
      <c r="B5" s="558"/>
      <c r="C5" s="558"/>
      <c r="D5" s="558"/>
      <c r="E5" s="558"/>
      <c r="F5" s="558"/>
      <c r="G5" s="558"/>
      <c r="H5" s="558"/>
    </row>
    <row r="6" spans="1:8">
      <c r="A6" s="42"/>
      <c r="B6" s="42"/>
      <c r="C6" s="42"/>
      <c r="D6" s="42"/>
      <c r="E6" s="237"/>
      <c r="F6" s="43"/>
      <c r="G6" s="132" t="s">
        <v>145</v>
      </c>
    </row>
    <row r="7" spans="1:8" s="71" customFormat="1" ht="11.25">
      <c r="A7" s="540" t="s">
        <v>0</v>
      </c>
      <c r="B7" s="540" t="s">
        <v>62</v>
      </c>
      <c r="C7" s="540" t="s">
        <v>63</v>
      </c>
      <c r="D7" s="540" t="s">
        <v>1</v>
      </c>
      <c r="E7" s="565" t="s">
        <v>161</v>
      </c>
      <c r="F7" s="568" t="s">
        <v>128</v>
      </c>
      <c r="G7" s="569"/>
      <c r="H7" s="562" t="s">
        <v>129</v>
      </c>
    </row>
    <row r="8" spans="1:8" s="71" customFormat="1" ht="16.5" customHeight="1">
      <c r="A8" s="541"/>
      <c r="B8" s="541"/>
      <c r="C8" s="541"/>
      <c r="D8" s="541"/>
      <c r="E8" s="566"/>
      <c r="F8" s="571" t="s">
        <v>232</v>
      </c>
      <c r="G8" s="570" t="s">
        <v>233</v>
      </c>
      <c r="H8" s="563"/>
    </row>
    <row r="9" spans="1:8" s="71" customFormat="1" ht="11.25">
      <c r="A9" s="542"/>
      <c r="B9" s="542"/>
      <c r="C9" s="542"/>
      <c r="D9" s="542"/>
      <c r="E9" s="567"/>
      <c r="F9" s="571"/>
      <c r="G9" s="570"/>
      <c r="H9" s="564"/>
    </row>
    <row r="10" spans="1:8" s="71" customFormat="1" ht="11.25">
      <c r="A10" s="50">
        <v>1</v>
      </c>
      <c r="B10" s="50">
        <v>2</v>
      </c>
      <c r="C10" s="50">
        <v>3</v>
      </c>
      <c r="D10" s="50">
        <v>4</v>
      </c>
      <c r="E10" s="241">
        <v>5</v>
      </c>
      <c r="F10" s="70">
        <v>6</v>
      </c>
      <c r="G10" s="70">
        <v>7</v>
      </c>
      <c r="H10" s="50">
        <v>8</v>
      </c>
    </row>
    <row r="11" spans="1:8" s="58" customFormat="1" ht="12">
      <c r="A11" s="146" t="s">
        <v>13</v>
      </c>
      <c r="B11" s="151"/>
      <c r="C11" s="147"/>
      <c r="D11" s="148" t="s">
        <v>27</v>
      </c>
      <c r="E11" s="242">
        <f>E12+E14</f>
        <v>120000</v>
      </c>
      <c r="F11" s="250">
        <f>F12+F14</f>
        <v>120078.52</v>
      </c>
      <c r="G11" s="250">
        <f>G12</f>
        <v>0</v>
      </c>
      <c r="H11" s="199">
        <f>(F11+G11)/E11*100</f>
        <v>100.06543333333333</v>
      </c>
    </row>
    <row r="12" spans="1:8" s="58" customFormat="1" ht="22.5">
      <c r="A12" s="540" t="s">
        <v>12</v>
      </c>
      <c r="B12" s="150" t="s">
        <v>48</v>
      </c>
      <c r="C12" s="206"/>
      <c r="D12" s="198" t="s">
        <v>64</v>
      </c>
      <c r="E12" s="243">
        <f>E13</f>
        <v>120000</v>
      </c>
      <c r="F12" s="251">
        <f>F13</f>
        <v>119998.16</v>
      </c>
      <c r="G12" s="251">
        <v>0</v>
      </c>
      <c r="H12" s="201">
        <f>(F12+G12)/E12*100</f>
        <v>99.998466666666673</v>
      </c>
    </row>
    <row r="13" spans="1:8" s="58" customFormat="1" ht="34.5" customHeight="1">
      <c r="A13" s="541"/>
      <c r="B13" s="206"/>
      <c r="C13" s="206">
        <v>2110</v>
      </c>
      <c r="D13" s="111" t="s">
        <v>65</v>
      </c>
      <c r="E13" s="243">
        <v>120000</v>
      </c>
      <c r="F13" s="251">
        <v>119998.16</v>
      </c>
      <c r="G13" s="257">
        <v>0</v>
      </c>
      <c r="H13" s="201">
        <f t="shared" ref="H13:H88" si="0">(F13+G13)/E13*100</f>
        <v>99.998466666666673</v>
      </c>
    </row>
    <row r="14" spans="1:8" s="58" customFormat="1" ht="12">
      <c r="A14" s="541"/>
      <c r="B14" s="150" t="s">
        <v>121</v>
      </c>
      <c r="C14" s="235"/>
      <c r="D14" s="111" t="s">
        <v>122</v>
      </c>
      <c r="E14" s="243">
        <f>E15</f>
        <v>0</v>
      </c>
      <c r="F14" s="251">
        <f>F15</f>
        <v>80.36</v>
      </c>
      <c r="G14" s="257">
        <v>0</v>
      </c>
      <c r="H14" s="201"/>
    </row>
    <row r="15" spans="1:8" s="58" customFormat="1" ht="34.5" customHeight="1">
      <c r="A15" s="542"/>
      <c r="B15" s="235"/>
      <c r="C15" s="235">
        <v>2360</v>
      </c>
      <c r="D15" s="111" t="s">
        <v>132</v>
      </c>
      <c r="E15" s="243">
        <v>0</v>
      </c>
      <c r="F15" s="251">
        <v>80.36</v>
      </c>
      <c r="G15" s="257">
        <v>0</v>
      </c>
      <c r="H15" s="201"/>
    </row>
    <row r="16" spans="1:8" s="58" customFormat="1" ht="12">
      <c r="A16" s="151" t="s">
        <v>14</v>
      </c>
      <c r="B16" s="153"/>
      <c r="C16" s="153"/>
      <c r="D16" s="154" t="s">
        <v>28</v>
      </c>
      <c r="E16" s="242">
        <f>E17+E20</f>
        <v>271840.53000000003</v>
      </c>
      <c r="F16" s="242">
        <f>F17+F20</f>
        <v>261635.43</v>
      </c>
      <c r="G16" s="250">
        <v>0</v>
      </c>
      <c r="H16" s="202">
        <f t="shared" si="0"/>
        <v>96.245924034947976</v>
      </c>
    </row>
    <row r="17" spans="1:8" s="58" customFormat="1" ht="12">
      <c r="A17" s="540" t="s">
        <v>12</v>
      </c>
      <c r="B17" s="150" t="s">
        <v>66</v>
      </c>
      <c r="C17" s="206"/>
      <c r="D17" s="111" t="s">
        <v>67</v>
      </c>
      <c r="E17" s="243">
        <f>E19+E18</f>
        <v>260000</v>
      </c>
      <c r="F17" s="251">
        <f>F19+F18</f>
        <v>249794.85</v>
      </c>
      <c r="G17" s="257">
        <v>0</v>
      </c>
      <c r="H17" s="201">
        <f t="shared" si="0"/>
        <v>96.074942307692311</v>
      </c>
    </row>
    <row r="18" spans="1:8" s="58" customFormat="1" ht="12">
      <c r="A18" s="541"/>
      <c r="B18" s="572"/>
      <c r="C18" s="150" t="s">
        <v>56</v>
      </c>
      <c r="D18" s="111" t="s">
        <v>58</v>
      </c>
      <c r="E18" s="243">
        <v>0</v>
      </c>
      <c r="F18" s="251">
        <v>1016.91</v>
      </c>
      <c r="G18" s="257">
        <v>0</v>
      </c>
      <c r="H18" s="201"/>
    </row>
    <row r="19" spans="1:8" s="58" customFormat="1" ht="33" customHeight="1">
      <c r="A19" s="541"/>
      <c r="B19" s="573"/>
      <c r="C19" s="206">
        <v>2460</v>
      </c>
      <c r="D19" s="111" t="s">
        <v>68</v>
      </c>
      <c r="E19" s="243">
        <v>260000</v>
      </c>
      <c r="F19" s="251">
        <v>248777.94</v>
      </c>
      <c r="G19" s="257">
        <v>0</v>
      </c>
      <c r="H19" s="201">
        <f t="shared" si="0"/>
        <v>95.683823076923076</v>
      </c>
    </row>
    <row r="20" spans="1:8" s="58" customFormat="1" ht="12">
      <c r="A20" s="541"/>
      <c r="B20" s="365" t="s">
        <v>102</v>
      </c>
      <c r="C20" s="363"/>
      <c r="D20" s="111" t="s">
        <v>103</v>
      </c>
      <c r="E20" s="243">
        <f>E21</f>
        <v>11840.53</v>
      </c>
      <c r="F20" s="251">
        <f>F21</f>
        <v>11840.58</v>
      </c>
      <c r="G20" s="257">
        <v>0</v>
      </c>
      <c r="H20" s="201">
        <f t="shared" si="0"/>
        <v>100.00042227839462</v>
      </c>
    </row>
    <row r="21" spans="1:8" s="58" customFormat="1" ht="45" customHeight="1">
      <c r="A21" s="542"/>
      <c r="B21" s="365"/>
      <c r="C21" s="150" t="s">
        <v>21</v>
      </c>
      <c r="D21" s="111" t="s">
        <v>169</v>
      </c>
      <c r="E21" s="243">
        <v>11840.53</v>
      </c>
      <c r="F21" s="251">
        <v>11840.58</v>
      </c>
      <c r="G21" s="257">
        <v>0</v>
      </c>
      <c r="H21" s="201">
        <f t="shared" si="0"/>
        <v>100.00042227839462</v>
      </c>
    </row>
    <row r="22" spans="1:8" s="58" customFormat="1" ht="12">
      <c r="A22" s="153">
        <v>600</v>
      </c>
      <c r="B22" s="153"/>
      <c r="C22" s="153"/>
      <c r="D22" s="154" t="s">
        <v>69</v>
      </c>
      <c r="E22" s="242">
        <f>E23+E28</f>
        <v>756818.69</v>
      </c>
      <c r="F22" s="242">
        <f t="shared" ref="F22:G22" si="1">F23+F28</f>
        <v>179893.76000000001</v>
      </c>
      <c r="G22" s="242">
        <f t="shared" si="1"/>
        <v>581445.68999999994</v>
      </c>
      <c r="H22" s="202">
        <f t="shared" si="0"/>
        <v>100.59733725656272</v>
      </c>
    </row>
    <row r="23" spans="1:8" s="58" customFormat="1" ht="12">
      <c r="A23" s="540"/>
      <c r="B23" s="206">
        <v>60014</v>
      </c>
      <c r="C23" s="206"/>
      <c r="D23" s="111" t="s">
        <v>39</v>
      </c>
      <c r="E23" s="200">
        <f>SUM(E24:E27)</f>
        <v>756818.69</v>
      </c>
      <c r="F23" s="200">
        <f t="shared" ref="F23:G23" si="2">SUM(F24:F27)</f>
        <v>178247.6</v>
      </c>
      <c r="G23" s="200">
        <f t="shared" si="2"/>
        <v>581445.68999999994</v>
      </c>
      <c r="H23" s="201">
        <f t="shared" si="0"/>
        <v>100.37982677198418</v>
      </c>
    </row>
    <row r="24" spans="1:8" s="58" customFormat="1" ht="22.5">
      <c r="A24" s="541"/>
      <c r="B24" s="540"/>
      <c r="C24" s="150" t="s">
        <v>224</v>
      </c>
      <c r="D24" s="111" t="s">
        <v>228</v>
      </c>
      <c r="E24" s="243">
        <v>0</v>
      </c>
      <c r="F24" s="251">
        <v>149.99</v>
      </c>
      <c r="G24" s="257">
        <v>0</v>
      </c>
      <c r="H24" s="201"/>
    </row>
    <row r="25" spans="1:8" s="58" customFormat="1" ht="12">
      <c r="A25" s="541"/>
      <c r="B25" s="541"/>
      <c r="C25" s="150" t="s">
        <v>49</v>
      </c>
      <c r="D25" s="111" t="s">
        <v>59</v>
      </c>
      <c r="E25" s="243">
        <v>1500</v>
      </c>
      <c r="F25" s="251">
        <v>2224.0100000000002</v>
      </c>
      <c r="G25" s="257">
        <v>0</v>
      </c>
      <c r="H25" s="201">
        <f t="shared" si="0"/>
        <v>148.26733333333334</v>
      </c>
    </row>
    <row r="26" spans="1:8" s="58" customFormat="1" ht="12">
      <c r="A26" s="541"/>
      <c r="B26" s="541"/>
      <c r="C26" s="150" t="s">
        <v>56</v>
      </c>
      <c r="D26" s="111" t="s">
        <v>58</v>
      </c>
      <c r="E26" s="243">
        <v>173873</v>
      </c>
      <c r="F26" s="251">
        <v>175873.6</v>
      </c>
      <c r="G26" s="257">
        <v>0</v>
      </c>
      <c r="H26" s="201">
        <f t="shared" si="0"/>
        <v>101.15060992793592</v>
      </c>
    </row>
    <row r="27" spans="1:8" s="58" customFormat="1" ht="67.5">
      <c r="A27" s="541"/>
      <c r="B27" s="542"/>
      <c r="C27" s="150">
        <v>6207</v>
      </c>
      <c r="D27" s="111" t="s">
        <v>249</v>
      </c>
      <c r="E27" s="243">
        <v>581445.68999999994</v>
      </c>
      <c r="F27" s="251">
        <v>0</v>
      </c>
      <c r="G27" s="257">
        <v>581445.68999999994</v>
      </c>
      <c r="H27" s="201">
        <f t="shared" si="0"/>
        <v>100</v>
      </c>
    </row>
    <row r="28" spans="1:8" s="58" customFormat="1" ht="12">
      <c r="A28" s="541"/>
      <c r="B28" s="234">
        <v>60016</v>
      </c>
      <c r="C28" s="150"/>
      <c r="D28" s="111" t="s">
        <v>238</v>
      </c>
      <c r="E28" s="243">
        <v>0</v>
      </c>
      <c r="F28" s="251">
        <f>F29</f>
        <v>1646.16</v>
      </c>
      <c r="G28" s="257">
        <v>0</v>
      </c>
      <c r="H28" s="201"/>
    </row>
    <row r="29" spans="1:8" s="58" customFormat="1" ht="67.5">
      <c r="A29" s="542"/>
      <c r="B29" s="234"/>
      <c r="C29" s="150">
        <v>2910</v>
      </c>
      <c r="D29" s="111" t="s">
        <v>250</v>
      </c>
      <c r="E29" s="243">
        <v>0</v>
      </c>
      <c r="F29" s="251">
        <v>1646.16</v>
      </c>
      <c r="G29" s="257">
        <v>0</v>
      </c>
      <c r="H29" s="201"/>
    </row>
    <row r="30" spans="1:8" s="58" customFormat="1" ht="12">
      <c r="A30" s="153">
        <v>700</v>
      </c>
      <c r="B30" s="153"/>
      <c r="C30" s="153"/>
      <c r="D30" s="154" t="s">
        <v>29</v>
      </c>
      <c r="E30" s="242">
        <f>E31</f>
        <v>183600</v>
      </c>
      <c r="F30" s="250">
        <f>F31</f>
        <v>158061.22999999998</v>
      </c>
      <c r="G30" s="250">
        <f>G31</f>
        <v>69298</v>
      </c>
      <c r="H30" s="202">
        <f t="shared" si="0"/>
        <v>123.83400326797384</v>
      </c>
    </row>
    <row r="31" spans="1:8" s="58" customFormat="1" ht="12">
      <c r="A31" s="547" t="s">
        <v>12</v>
      </c>
      <c r="B31" s="206">
        <v>70005</v>
      </c>
      <c r="C31" s="206"/>
      <c r="D31" s="111" t="s">
        <v>70</v>
      </c>
      <c r="E31" s="243">
        <f>SUM(E32:E39)</f>
        <v>183600</v>
      </c>
      <c r="F31" s="251">
        <f>SUM(F32:F39)</f>
        <v>158061.22999999998</v>
      </c>
      <c r="G31" s="251">
        <f>SUM(G32:G39)</f>
        <v>69298</v>
      </c>
      <c r="H31" s="201">
        <f t="shared" si="0"/>
        <v>123.83400326797384</v>
      </c>
    </row>
    <row r="32" spans="1:8" s="58" customFormat="1" ht="23.25" customHeight="1">
      <c r="A32" s="547"/>
      <c r="B32" s="547"/>
      <c r="C32" s="150" t="s">
        <v>20</v>
      </c>
      <c r="D32" s="111" t="s">
        <v>23</v>
      </c>
      <c r="E32" s="243">
        <v>3600</v>
      </c>
      <c r="F32" s="251">
        <v>6885.47</v>
      </c>
      <c r="G32" s="251">
        <v>0</v>
      </c>
      <c r="H32" s="201">
        <f t="shared" si="0"/>
        <v>191.26305555555555</v>
      </c>
    </row>
    <row r="33" spans="1:8" s="58" customFormat="1" ht="12" customHeight="1">
      <c r="A33" s="547"/>
      <c r="B33" s="547"/>
      <c r="C33" s="150" t="s">
        <v>37</v>
      </c>
      <c r="D33" s="114" t="s">
        <v>38</v>
      </c>
      <c r="E33" s="243"/>
      <c r="F33" s="251">
        <v>100</v>
      </c>
      <c r="G33" s="251">
        <v>0</v>
      </c>
      <c r="H33" s="201"/>
    </row>
    <row r="34" spans="1:8" s="58" customFormat="1" ht="62.25" customHeight="1">
      <c r="A34" s="547"/>
      <c r="B34" s="547"/>
      <c r="C34" s="150" t="s">
        <v>21</v>
      </c>
      <c r="D34" s="111" t="s">
        <v>169</v>
      </c>
      <c r="E34" s="243">
        <v>33000</v>
      </c>
      <c r="F34" s="251">
        <v>40423.839999999997</v>
      </c>
      <c r="G34" s="251">
        <v>0</v>
      </c>
      <c r="H34" s="201">
        <f t="shared" si="0"/>
        <v>122.49648484848483</v>
      </c>
    </row>
    <row r="35" spans="1:8" s="58" customFormat="1" ht="41.25" customHeight="1">
      <c r="A35" s="547"/>
      <c r="B35" s="547"/>
      <c r="C35" s="150" t="s">
        <v>22</v>
      </c>
      <c r="D35" s="111" t="s">
        <v>60</v>
      </c>
      <c r="E35" s="243">
        <v>62000</v>
      </c>
      <c r="F35" s="251">
        <v>0</v>
      </c>
      <c r="G35" s="251">
        <v>69298</v>
      </c>
      <c r="H35" s="201">
        <f t="shared" si="0"/>
        <v>111.77096774193549</v>
      </c>
    </row>
    <row r="36" spans="1:8" s="58" customFormat="1" ht="12">
      <c r="A36" s="547"/>
      <c r="B36" s="547"/>
      <c r="C36" s="150" t="s">
        <v>49</v>
      </c>
      <c r="D36" s="111" t="s">
        <v>59</v>
      </c>
      <c r="E36" s="243">
        <v>0</v>
      </c>
      <c r="F36" s="251">
        <f>4266.88+17.5</f>
        <v>4284.38</v>
      </c>
      <c r="G36" s="251">
        <v>0</v>
      </c>
      <c r="H36" s="201"/>
    </row>
    <row r="37" spans="1:8" s="58" customFormat="1" ht="12">
      <c r="A37" s="547"/>
      <c r="B37" s="547"/>
      <c r="C37" s="150" t="s">
        <v>56</v>
      </c>
      <c r="D37" s="111" t="s">
        <v>58</v>
      </c>
      <c r="E37" s="243">
        <v>0</v>
      </c>
      <c r="F37" s="251">
        <v>6595.67</v>
      </c>
      <c r="G37" s="251">
        <v>0</v>
      </c>
      <c r="H37" s="201"/>
    </row>
    <row r="38" spans="1:8" s="58" customFormat="1" ht="34.5" customHeight="1">
      <c r="A38" s="547"/>
      <c r="B38" s="547"/>
      <c r="C38" s="206">
        <v>2110</v>
      </c>
      <c r="D38" s="111" t="s">
        <v>65</v>
      </c>
      <c r="E38" s="243">
        <v>15000</v>
      </c>
      <c r="F38" s="251">
        <v>10000</v>
      </c>
      <c r="G38" s="251">
        <v>0</v>
      </c>
      <c r="H38" s="201">
        <f t="shared" si="0"/>
        <v>66.666666666666657</v>
      </c>
    </row>
    <row r="39" spans="1:8" s="58" customFormat="1" ht="33.75" customHeight="1">
      <c r="A39" s="547"/>
      <c r="B39" s="547"/>
      <c r="C39" s="206">
        <v>2360</v>
      </c>
      <c r="D39" s="111" t="s">
        <v>132</v>
      </c>
      <c r="E39" s="243">
        <v>70000</v>
      </c>
      <c r="F39" s="251">
        <v>89771.87</v>
      </c>
      <c r="G39" s="251">
        <v>0</v>
      </c>
      <c r="H39" s="201">
        <f t="shared" si="0"/>
        <v>128.24552857142857</v>
      </c>
    </row>
    <row r="40" spans="1:8" s="58" customFormat="1" ht="12">
      <c r="A40" s="146">
        <v>710</v>
      </c>
      <c r="B40" s="151"/>
      <c r="C40" s="153"/>
      <c r="D40" s="154" t="s">
        <v>30</v>
      </c>
      <c r="E40" s="242">
        <f>E41+E43+E45</f>
        <v>369173</v>
      </c>
      <c r="F40" s="250">
        <f>F41+F43+F45</f>
        <v>369531.94</v>
      </c>
      <c r="G40" s="250">
        <v>0</v>
      </c>
      <c r="H40" s="202">
        <f t="shared" si="0"/>
        <v>100.09722812881765</v>
      </c>
    </row>
    <row r="41" spans="1:8" s="58" customFormat="1" ht="12">
      <c r="A41" s="551" t="s">
        <v>12</v>
      </c>
      <c r="B41" s="150">
        <v>71013</v>
      </c>
      <c r="C41" s="206"/>
      <c r="D41" s="111" t="s">
        <v>71</v>
      </c>
      <c r="E41" s="243">
        <f>E42</f>
        <v>67000</v>
      </c>
      <c r="F41" s="251">
        <f>F42</f>
        <v>67000</v>
      </c>
      <c r="G41" s="251">
        <v>0</v>
      </c>
      <c r="H41" s="201">
        <f t="shared" si="0"/>
        <v>100</v>
      </c>
    </row>
    <row r="42" spans="1:8" s="58" customFormat="1" ht="33" customHeight="1">
      <c r="A42" s="552"/>
      <c r="B42" s="206"/>
      <c r="C42" s="206">
        <v>2110</v>
      </c>
      <c r="D42" s="111" t="s">
        <v>65</v>
      </c>
      <c r="E42" s="243">
        <v>67000</v>
      </c>
      <c r="F42" s="251">
        <v>67000</v>
      </c>
      <c r="G42" s="251">
        <v>0</v>
      </c>
      <c r="H42" s="201">
        <f t="shared" si="0"/>
        <v>100</v>
      </c>
    </row>
    <row r="43" spans="1:8" s="58" customFormat="1" ht="12">
      <c r="A43" s="552"/>
      <c r="B43" s="206">
        <v>71014</v>
      </c>
      <c r="C43" s="206"/>
      <c r="D43" s="111" t="s">
        <v>72</v>
      </c>
      <c r="E43" s="243">
        <f>E44</f>
        <v>17000</v>
      </c>
      <c r="F43" s="251">
        <f>F44</f>
        <v>17000</v>
      </c>
      <c r="G43" s="251">
        <v>0</v>
      </c>
      <c r="H43" s="201">
        <f t="shared" si="0"/>
        <v>100</v>
      </c>
    </row>
    <row r="44" spans="1:8" s="58" customFormat="1" ht="33" customHeight="1">
      <c r="A44" s="552"/>
      <c r="B44" s="206"/>
      <c r="C44" s="206">
        <v>2110</v>
      </c>
      <c r="D44" s="111" t="s">
        <v>65</v>
      </c>
      <c r="E44" s="243">
        <v>17000</v>
      </c>
      <c r="F44" s="251">
        <v>17000</v>
      </c>
      <c r="G44" s="251">
        <v>0</v>
      </c>
      <c r="H44" s="201">
        <f t="shared" si="0"/>
        <v>100</v>
      </c>
    </row>
    <row r="45" spans="1:8" s="58" customFormat="1" ht="12">
      <c r="A45" s="552"/>
      <c r="B45" s="206">
        <v>71015</v>
      </c>
      <c r="C45" s="206"/>
      <c r="D45" s="111" t="s">
        <v>73</v>
      </c>
      <c r="E45" s="243">
        <f>SUM(E46:E49)</f>
        <v>285173</v>
      </c>
      <c r="F45" s="243">
        <f t="shared" ref="F45:G45" si="3">SUM(F46:F49)</f>
        <v>285531.94</v>
      </c>
      <c r="G45" s="243">
        <f t="shared" si="3"/>
        <v>0</v>
      </c>
      <c r="H45" s="201">
        <f t="shared" si="0"/>
        <v>100.1258674558952</v>
      </c>
    </row>
    <row r="46" spans="1:8" s="58" customFormat="1" ht="12">
      <c r="A46" s="552"/>
      <c r="B46" s="540"/>
      <c r="C46" s="150" t="s">
        <v>37</v>
      </c>
      <c r="D46" s="114" t="s">
        <v>38</v>
      </c>
      <c r="E46" s="243">
        <v>0</v>
      </c>
      <c r="F46" s="251">
        <v>27.6</v>
      </c>
      <c r="G46" s="251">
        <v>0</v>
      </c>
      <c r="H46" s="201"/>
    </row>
    <row r="47" spans="1:8" s="58" customFormat="1" ht="12">
      <c r="A47" s="552"/>
      <c r="B47" s="541"/>
      <c r="C47" s="150" t="s">
        <v>49</v>
      </c>
      <c r="D47" s="111" t="s">
        <v>59</v>
      </c>
      <c r="E47" s="243">
        <v>0</v>
      </c>
      <c r="F47" s="251">
        <v>331.84</v>
      </c>
      <c r="G47" s="251">
        <v>0</v>
      </c>
      <c r="H47" s="201"/>
    </row>
    <row r="48" spans="1:8" s="58" customFormat="1" ht="35.25" customHeight="1">
      <c r="A48" s="552"/>
      <c r="B48" s="541"/>
      <c r="C48" s="150">
        <v>2110</v>
      </c>
      <c r="D48" s="111" t="s">
        <v>65</v>
      </c>
      <c r="E48" s="243">
        <v>285173</v>
      </c>
      <c r="F48" s="251">
        <v>285165</v>
      </c>
      <c r="G48" s="251">
        <v>0</v>
      </c>
      <c r="H48" s="201">
        <f t="shared" si="0"/>
        <v>99.997194685331365</v>
      </c>
    </row>
    <row r="49" spans="1:8" s="58" customFormat="1" ht="35.25" customHeight="1">
      <c r="A49" s="553"/>
      <c r="B49" s="542"/>
      <c r="C49" s="150">
        <v>2360</v>
      </c>
      <c r="D49" s="111" t="s">
        <v>132</v>
      </c>
      <c r="E49" s="243">
        <v>0</v>
      </c>
      <c r="F49" s="251">
        <v>7.5</v>
      </c>
      <c r="G49" s="251">
        <v>0</v>
      </c>
      <c r="H49" s="201"/>
    </row>
    <row r="50" spans="1:8" s="58" customFormat="1" ht="12">
      <c r="A50" s="147">
        <v>750</v>
      </c>
      <c r="B50" s="153"/>
      <c r="C50" s="153"/>
      <c r="D50" s="154" t="s">
        <v>31</v>
      </c>
      <c r="E50" s="242">
        <f>E51+E53+E61+E63+E65</f>
        <v>1561070.15</v>
      </c>
      <c r="F50" s="242">
        <f t="shared" ref="F50:G50" si="4">F51+F53+F61+F63+F65</f>
        <v>429406.16</v>
      </c>
      <c r="G50" s="242">
        <f t="shared" si="4"/>
        <v>1217979.1499999999</v>
      </c>
      <c r="H50" s="202">
        <f t="shared" si="0"/>
        <v>105.5292300605453</v>
      </c>
    </row>
    <row r="51" spans="1:8" s="58" customFormat="1" ht="12">
      <c r="A51" s="551" t="s">
        <v>12</v>
      </c>
      <c r="B51" s="206">
        <v>75011</v>
      </c>
      <c r="C51" s="206"/>
      <c r="D51" s="111" t="s">
        <v>76</v>
      </c>
      <c r="E51" s="243">
        <f>E52</f>
        <v>114200</v>
      </c>
      <c r="F51" s="251">
        <f>F52</f>
        <v>113866.61</v>
      </c>
      <c r="G51" s="251">
        <v>0</v>
      </c>
      <c r="H51" s="201">
        <f t="shared" si="0"/>
        <v>99.708064798598954</v>
      </c>
    </row>
    <row r="52" spans="1:8" s="58" customFormat="1" ht="33" customHeight="1">
      <c r="A52" s="552"/>
      <c r="B52" s="206"/>
      <c r="C52" s="206">
        <v>2110</v>
      </c>
      <c r="D52" s="111" t="s">
        <v>65</v>
      </c>
      <c r="E52" s="243">
        <v>114200</v>
      </c>
      <c r="F52" s="251">
        <v>113866.61</v>
      </c>
      <c r="G52" s="251">
        <v>0</v>
      </c>
      <c r="H52" s="201">
        <f t="shared" si="0"/>
        <v>99.708064798598954</v>
      </c>
    </row>
    <row r="53" spans="1:8" s="58" customFormat="1" ht="12">
      <c r="A53" s="552"/>
      <c r="B53" s="206">
        <v>75020</v>
      </c>
      <c r="C53" s="206"/>
      <c r="D53" s="111" t="s">
        <v>77</v>
      </c>
      <c r="E53" s="243">
        <f>SUM(E54:E60)</f>
        <v>199895</v>
      </c>
      <c r="F53" s="243">
        <f t="shared" ref="F53:G53" si="5">SUM(F54:F60)</f>
        <v>286543.82</v>
      </c>
      <c r="G53" s="243">
        <f t="shared" si="5"/>
        <v>0</v>
      </c>
      <c r="H53" s="201">
        <f t="shared" si="0"/>
        <v>143.34716726281297</v>
      </c>
    </row>
    <row r="54" spans="1:8" s="58" customFormat="1" ht="23.25" customHeight="1">
      <c r="A54" s="552"/>
      <c r="B54" s="540"/>
      <c r="C54" s="150" t="s">
        <v>354</v>
      </c>
      <c r="D54" s="111" t="s">
        <v>358</v>
      </c>
      <c r="E54" s="243">
        <v>0</v>
      </c>
      <c r="F54" s="251">
        <v>16667.14</v>
      </c>
      <c r="G54" s="251">
        <v>0</v>
      </c>
      <c r="H54" s="201"/>
    </row>
    <row r="55" spans="1:8" s="58" customFormat="1" ht="12">
      <c r="A55" s="552"/>
      <c r="B55" s="541"/>
      <c r="C55" s="150" t="s">
        <v>37</v>
      </c>
      <c r="D55" s="114" t="s">
        <v>38</v>
      </c>
      <c r="E55" s="243">
        <v>0</v>
      </c>
      <c r="F55" s="251">
        <v>1333.36</v>
      </c>
      <c r="G55" s="251">
        <v>0</v>
      </c>
      <c r="H55" s="201"/>
    </row>
    <row r="56" spans="1:8" s="58" customFormat="1" ht="45" customHeight="1">
      <c r="A56" s="552"/>
      <c r="B56" s="541"/>
      <c r="C56" s="150" t="s">
        <v>21</v>
      </c>
      <c r="D56" s="111" t="s">
        <v>169</v>
      </c>
      <c r="E56" s="243">
        <v>17895</v>
      </c>
      <c r="F56" s="251">
        <v>17894.759999999998</v>
      </c>
      <c r="G56" s="251">
        <v>0</v>
      </c>
      <c r="H56" s="201">
        <f t="shared" si="0"/>
        <v>99.998658843252301</v>
      </c>
    </row>
    <row r="57" spans="1:8" s="58" customFormat="1" ht="12">
      <c r="A57" s="552"/>
      <c r="B57" s="541"/>
      <c r="C57" s="150" t="s">
        <v>55</v>
      </c>
      <c r="D57" s="111" t="s">
        <v>57</v>
      </c>
      <c r="E57" s="243">
        <v>0</v>
      </c>
      <c r="F57" s="251">
        <v>11.94</v>
      </c>
      <c r="G57" s="251">
        <v>0</v>
      </c>
      <c r="H57" s="201"/>
    </row>
    <row r="58" spans="1:8" s="58" customFormat="1" ht="12">
      <c r="A58" s="552"/>
      <c r="B58" s="541"/>
      <c r="C58" s="150" t="s">
        <v>49</v>
      </c>
      <c r="D58" s="111" t="s">
        <v>59</v>
      </c>
      <c r="E58" s="243">
        <v>0</v>
      </c>
      <c r="F58" s="251">
        <v>119.1</v>
      </c>
      <c r="G58" s="251">
        <v>0</v>
      </c>
      <c r="H58" s="201"/>
    </row>
    <row r="59" spans="1:8" s="58" customFormat="1" ht="12">
      <c r="A59" s="552"/>
      <c r="B59" s="541"/>
      <c r="C59" s="150" t="s">
        <v>56</v>
      </c>
      <c r="D59" s="111" t="s">
        <v>58</v>
      </c>
      <c r="E59" s="243">
        <v>12000</v>
      </c>
      <c r="F59" s="251">
        <v>80517.52</v>
      </c>
      <c r="G59" s="251">
        <v>0</v>
      </c>
      <c r="H59" s="201">
        <f t="shared" si="0"/>
        <v>670.97933333333333</v>
      </c>
    </row>
    <row r="60" spans="1:8" s="58" customFormat="1" ht="33.75">
      <c r="A60" s="552"/>
      <c r="B60" s="542"/>
      <c r="C60" s="206">
        <v>2440</v>
      </c>
      <c r="D60" s="156" t="s">
        <v>139</v>
      </c>
      <c r="E60" s="243">
        <v>170000</v>
      </c>
      <c r="F60" s="251">
        <v>170000</v>
      </c>
      <c r="G60" s="251">
        <v>0</v>
      </c>
      <c r="H60" s="201">
        <f t="shared" si="0"/>
        <v>100</v>
      </c>
    </row>
    <row r="61" spans="1:8" s="58" customFormat="1" ht="12">
      <c r="A61" s="552"/>
      <c r="B61" s="206">
        <v>75045</v>
      </c>
      <c r="C61" s="206"/>
      <c r="D61" s="111" t="s">
        <v>352</v>
      </c>
      <c r="E61" s="243">
        <f>E62</f>
        <v>18996</v>
      </c>
      <c r="F61" s="251">
        <f>F62</f>
        <v>18995.73</v>
      </c>
      <c r="G61" s="251">
        <v>0</v>
      </c>
      <c r="H61" s="201">
        <f t="shared" si="0"/>
        <v>99.998578648136444</v>
      </c>
    </row>
    <row r="62" spans="1:8" s="58" customFormat="1" ht="34.5" customHeight="1">
      <c r="A62" s="552"/>
      <c r="B62" s="363"/>
      <c r="C62" s="206">
        <v>2110</v>
      </c>
      <c r="D62" s="111" t="s">
        <v>65</v>
      </c>
      <c r="E62" s="243">
        <v>18996</v>
      </c>
      <c r="F62" s="251">
        <v>18995.73</v>
      </c>
      <c r="G62" s="251">
        <v>0</v>
      </c>
      <c r="H62" s="201">
        <f t="shared" si="0"/>
        <v>99.998578648136444</v>
      </c>
    </row>
    <row r="63" spans="1:8" s="58" customFormat="1" ht="11.25" customHeight="1">
      <c r="A63" s="552"/>
      <c r="B63" s="206">
        <v>75075</v>
      </c>
      <c r="C63" s="206"/>
      <c r="D63" s="111" t="s">
        <v>144</v>
      </c>
      <c r="E63" s="243">
        <f>E64</f>
        <v>10000</v>
      </c>
      <c r="F63" s="251">
        <f>F64</f>
        <v>10000</v>
      </c>
      <c r="G63" s="251">
        <v>0</v>
      </c>
      <c r="H63" s="201">
        <f t="shared" si="0"/>
        <v>100</v>
      </c>
    </row>
    <row r="64" spans="1:8" s="58" customFormat="1" ht="32.25" customHeight="1">
      <c r="A64" s="552"/>
      <c r="B64" s="206"/>
      <c r="C64" s="206">
        <v>2700</v>
      </c>
      <c r="D64" s="156" t="s">
        <v>183</v>
      </c>
      <c r="E64" s="243">
        <v>10000</v>
      </c>
      <c r="F64" s="251">
        <v>10000</v>
      </c>
      <c r="G64" s="251">
        <v>0</v>
      </c>
      <c r="H64" s="201">
        <f t="shared" si="0"/>
        <v>100</v>
      </c>
    </row>
    <row r="65" spans="1:8" s="58" customFormat="1" ht="12">
      <c r="A65" s="552"/>
      <c r="B65" s="231">
        <v>75095</v>
      </c>
      <c r="C65" s="231"/>
      <c r="D65" s="156" t="s">
        <v>74</v>
      </c>
      <c r="E65" s="243">
        <f>E66</f>
        <v>1217979.1499999999</v>
      </c>
      <c r="F65" s="243">
        <f t="shared" ref="F65:G65" si="6">F66</f>
        <v>0</v>
      </c>
      <c r="G65" s="243">
        <f t="shared" si="6"/>
        <v>1217979.1499999999</v>
      </c>
      <c r="H65" s="201">
        <f t="shared" si="0"/>
        <v>100</v>
      </c>
    </row>
    <row r="66" spans="1:8" s="58" customFormat="1" ht="32.25" customHeight="1">
      <c r="A66" s="553"/>
      <c r="B66" s="231"/>
      <c r="C66" s="231">
        <v>6627</v>
      </c>
      <c r="D66" s="156" t="s">
        <v>251</v>
      </c>
      <c r="E66" s="243">
        <v>1217979.1499999999</v>
      </c>
      <c r="F66" s="251">
        <v>0</v>
      </c>
      <c r="G66" s="251">
        <v>1217979.1499999999</v>
      </c>
      <c r="H66" s="201">
        <f t="shared" si="0"/>
        <v>100</v>
      </c>
    </row>
    <row r="67" spans="1:8" s="58" customFormat="1" ht="32.25" customHeight="1">
      <c r="A67" s="370">
        <v>751</v>
      </c>
      <c r="B67" s="371"/>
      <c r="C67" s="371"/>
      <c r="D67" s="372" t="s">
        <v>357</v>
      </c>
      <c r="E67" s="373">
        <f t="shared" ref="E67:G68" si="7">E68</f>
        <v>16251</v>
      </c>
      <c r="F67" s="374">
        <f t="shared" si="7"/>
        <v>16251</v>
      </c>
      <c r="G67" s="374">
        <f t="shared" si="7"/>
        <v>0</v>
      </c>
      <c r="H67" s="375">
        <f t="shared" si="0"/>
        <v>100</v>
      </c>
    </row>
    <row r="68" spans="1:8" s="58" customFormat="1" ht="46.5" customHeight="1">
      <c r="A68" s="366"/>
      <c r="B68" s="363">
        <v>75109</v>
      </c>
      <c r="C68" s="363"/>
      <c r="D68" s="156" t="s">
        <v>356</v>
      </c>
      <c r="E68" s="243">
        <f t="shared" si="7"/>
        <v>16251</v>
      </c>
      <c r="F68" s="251">
        <f t="shared" si="7"/>
        <v>16251</v>
      </c>
      <c r="G68" s="251">
        <f t="shared" si="7"/>
        <v>0</v>
      </c>
      <c r="H68" s="201">
        <f t="shared" si="0"/>
        <v>100</v>
      </c>
    </row>
    <row r="69" spans="1:8" s="58" customFormat="1" ht="32.25" customHeight="1">
      <c r="A69" s="366"/>
      <c r="B69" s="363"/>
      <c r="C69" s="363">
        <v>2110</v>
      </c>
      <c r="D69" s="111" t="s">
        <v>65</v>
      </c>
      <c r="E69" s="243">
        <v>16251</v>
      </c>
      <c r="F69" s="251">
        <v>16251</v>
      </c>
      <c r="G69" s="251">
        <v>0</v>
      </c>
      <c r="H69" s="201">
        <f t="shared" si="0"/>
        <v>100</v>
      </c>
    </row>
    <row r="70" spans="1:8" s="58" customFormat="1" ht="21">
      <c r="A70" s="153">
        <v>754</v>
      </c>
      <c r="B70" s="153"/>
      <c r="C70" s="153"/>
      <c r="D70" s="154" t="s">
        <v>32</v>
      </c>
      <c r="E70" s="242">
        <f>E71+E79+E82</f>
        <v>3691586</v>
      </c>
      <c r="F70" s="242">
        <f t="shared" ref="F70:G70" si="8">F71+F79+F82</f>
        <v>3011134.86</v>
      </c>
      <c r="G70" s="242">
        <f t="shared" si="8"/>
        <v>700000</v>
      </c>
      <c r="H70" s="202">
        <f t="shared" si="0"/>
        <v>100.52955179697831</v>
      </c>
    </row>
    <row r="71" spans="1:8" s="58" customFormat="1" ht="11.25" customHeight="1">
      <c r="A71" s="540"/>
      <c r="B71" s="206">
        <v>75411</v>
      </c>
      <c r="C71" s="206"/>
      <c r="D71" s="111" t="s">
        <v>40</v>
      </c>
      <c r="E71" s="243">
        <f>SUM(E72:E78)</f>
        <v>3674023</v>
      </c>
      <c r="F71" s="251">
        <f>SUM(F72:F78)</f>
        <v>2988408.02</v>
      </c>
      <c r="G71" s="251">
        <f>SUM(G72:G78)</f>
        <v>700000</v>
      </c>
      <c r="H71" s="201">
        <f t="shared" si="0"/>
        <v>100.39153320488194</v>
      </c>
    </row>
    <row r="72" spans="1:8" s="58" customFormat="1" ht="12">
      <c r="A72" s="541"/>
      <c r="B72" s="540"/>
      <c r="C72" s="150" t="s">
        <v>49</v>
      </c>
      <c r="D72" s="111" t="s">
        <v>59</v>
      </c>
      <c r="E72" s="243">
        <v>0</v>
      </c>
      <c r="F72" s="251">
        <v>6492.53</v>
      </c>
      <c r="G72" s="251">
        <v>0</v>
      </c>
      <c r="H72" s="201"/>
    </row>
    <row r="73" spans="1:8" s="58" customFormat="1" ht="22.5">
      <c r="A73" s="541"/>
      <c r="B73" s="541"/>
      <c r="C73" s="150" t="s">
        <v>101</v>
      </c>
      <c r="D73" s="111" t="s">
        <v>158</v>
      </c>
      <c r="E73" s="243">
        <v>2000</v>
      </c>
      <c r="F73" s="251">
        <v>2000</v>
      </c>
      <c r="G73" s="251">
        <v>0</v>
      </c>
      <c r="H73" s="201">
        <f t="shared" si="0"/>
        <v>100</v>
      </c>
    </row>
    <row r="74" spans="1:8" s="58" customFormat="1" ht="12">
      <c r="A74" s="541"/>
      <c r="B74" s="541"/>
      <c r="C74" s="150" t="s">
        <v>56</v>
      </c>
      <c r="D74" s="111" t="s">
        <v>58</v>
      </c>
      <c r="E74" s="243">
        <v>0</v>
      </c>
      <c r="F74" s="251">
        <v>7824.4</v>
      </c>
      <c r="G74" s="251">
        <v>0</v>
      </c>
      <c r="H74" s="201"/>
    </row>
    <row r="75" spans="1:8" s="58" customFormat="1" ht="34.5" customHeight="1">
      <c r="A75" s="541"/>
      <c r="B75" s="541"/>
      <c r="C75" s="206">
        <v>2110</v>
      </c>
      <c r="D75" s="111" t="s">
        <v>65</v>
      </c>
      <c r="E75" s="243">
        <v>2972023</v>
      </c>
      <c r="F75" s="251">
        <v>2972011.21</v>
      </c>
      <c r="G75" s="251">
        <v>0</v>
      </c>
      <c r="H75" s="201">
        <f t="shared" si="0"/>
        <v>99.999603300512817</v>
      </c>
    </row>
    <row r="76" spans="1:8" s="58" customFormat="1" ht="35.25" customHeight="1">
      <c r="A76" s="541"/>
      <c r="B76" s="541"/>
      <c r="C76" s="206">
        <v>2360</v>
      </c>
      <c r="D76" s="111" t="s">
        <v>132</v>
      </c>
      <c r="E76" s="243">
        <v>0</v>
      </c>
      <c r="F76" s="251">
        <v>79.88</v>
      </c>
      <c r="G76" s="251">
        <v>0</v>
      </c>
      <c r="H76" s="201"/>
    </row>
    <row r="77" spans="1:8" s="58" customFormat="1" ht="47.25" customHeight="1">
      <c r="A77" s="541"/>
      <c r="B77" s="541"/>
      <c r="C77" s="231">
        <v>6300</v>
      </c>
      <c r="D77" s="508" t="s">
        <v>477</v>
      </c>
      <c r="E77" s="243">
        <v>50000</v>
      </c>
      <c r="F77" s="251">
        <v>0</v>
      </c>
      <c r="G77" s="251">
        <v>50000</v>
      </c>
      <c r="H77" s="201">
        <f t="shared" si="0"/>
        <v>100</v>
      </c>
    </row>
    <row r="78" spans="1:8" s="58" customFormat="1" ht="35.25" customHeight="1">
      <c r="A78" s="541"/>
      <c r="B78" s="542"/>
      <c r="C78" s="231">
        <v>6410</v>
      </c>
      <c r="D78" s="111" t="s">
        <v>253</v>
      </c>
      <c r="E78" s="243">
        <v>650000</v>
      </c>
      <c r="F78" s="251">
        <v>0</v>
      </c>
      <c r="G78" s="251">
        <v>650000</v>
      </c>
      <c r="H78" s="201">
        <f t="shared" si="0"/>
        <v>100</v>
      </c>
    </row>
    <row r="79" spans="1:8" s="58" customFormat="1" ht="12">
      <c r="A79" s="541"/>
      <c r="B79" s="206">
        <v>75421</v>
      </c>
      <c r="C79" s="206"/>
      <c r="D79" s="111" t="s">
        <v>179</v>
      </c>
      <c r="E79" s="243">
        <f>E81+E80</f>
        <v>10663</v>
      </c>
      <c r="F79" s="243">
        <f t="shared" ref="F79:G79" si="9">F81+F80</f>
        <v>15826.84</v>
      </c>
      <c r="G79" s="243">
        <f t="shared" si="9"/>
        <v>0</v>
      </c>
      <c r="H79" s="201">
        <f t="shared" si="0"/>
        <v>148.42764700365751</v>
      </c>
    </row>
    <row r="80" spans="1:8" s="58" customFormat="1" ht="12">
      <c r="A80" s="541"/>
      <c r="B80" s="540"/>
      <c r="C80" s="150" t="s">
        <v>56</v>
      </c>
      <c r="D80" s="111" t="s">
        <v>58</v>
      </c>
      <c r="E80" s="243">
        <v>4500</v>
      </c>
      <c r="F80" s="251">
        <v>9663.8799999999992</v>
      </c>
      <c r="G80" s="251">
        <v>0</v>
      </c>
      <c r="H80" s="201">
        <f t="shared" si="0"/>
        <v>214.75288888888886</v>
      </c>
    </row>
    <row r="81" spans="1:8" s="58" customFormat="1" ht="45">
      <c r="A81" s="541"/>
      <c r="B81" s="542"/>
      <c r="C81" s="206">
        <v>2310</v>
      </c>
      <c r="D81" s="204" t="s">
        <v>134</v>
      </c>
      <c r="E81" s="243">
        <v>6163</v>
      </c>
      <c r="F81" s="251">
        <v>6162.96</v>
      </c>
      <c r="G81" s="251">
        <v>0</v>
      </c>
      <c r="H81" s="201">
        <f t="shared" si="0"/>
        <v>99.999350965438921</v>
      </c>
    </row>
    <row r="82" spans="1:8" s="58" customFormat="1" ht="12">
      <c r="A82" s="541"/>
      <c r="B82" s="364">
        <v>75478</v>
      </c>
      <c r="C82" s="363"/>
      <c r="D82" s="204" t="s">
        <v>355</v>
      </c>
      <c r="E82" s="243">
        <f>E83</f>
        <v>6900</v>
      </c>
      <c r="F82" s="251">
        <f>F83</f>
        <v>6900</v>
      </c>
      <c r="G82" s="251">
        <f>G83</f>
        <v>0</v>
      </c>
      <c r="H82" s="201">
        <f t="shared" si="0"/>
        <v>100</v>
      </c>
    </row>
    <row r="83" spans="1:8" s="58" customFormat="1" ht="45">
      <c r="A83" s="542"/>
      <c r="B83" s="364"/>
      <c r="C83" s="363">
        <v>2110</v>
      </c>
      <c r="D83" s="111" t="s">
        <v>65</v>
      </c>
      <c r="E83" s="243">
        <v>6900</v>
      </c>
      <c r="F83" s="251">
        <v>6900</v>
      </c>
      <c r="G83" s="251">
        <v>0</v>
      </c>
      <c r="H83" s="201">
        <f t="shared" si="0"/>
        <v>100</v>
      </c>
    </row>
    <row r="84" spans="1:8" s="58" customFormat="1" ht="42">
      <c r="A84" s="157">
        <v>756</v>
      </c>
      <c r="B84" s="153"/>
      <c r="C84" s="153"/>
      <c r="D84" s="154" t="s">
        <v>61</v>
      </c>
      <c r="E84" s="242">
        <f>E85+E91</f>
        <v>5899797</v>
      </c>
      <c r="F84" s="250">
        <f>F85+F91</f>
        <v>5967139.0899999999</v>
      </c>
      <c r="G84" s="250">
        <v>0</v>
      </c>
      <c r="H84" s="202">
        <f t="shared" si="0"/>
        <v>101.14143062888434</v>
      </c>
    </row>
    <row r="85" spans="1:8" s="58" customFormat="1" ht="33.75">
      <c r="A85" s="540" t="s">
        <v>12</v>
      </c>
      <c r="B85" s="212">
        <v>75618</v>
      </c>
      <c r="C85" s="212"/>
      <c r="D85" s="177" t="s">
        <v>180</v>
      </c>
      <c r="E85" s="247">
        <f>SUM(E86:E90)</f>
        <v>1401576</v>
      </c>
      <c r="F85" s="255">
        <f>SUM(F86:F90)</f>
        <v>1544494.12</v>
      </c>
      <c r="G85" s="255">
        <v>0</v>
      </c>
      <c r="H85" s="376">
        <f t="shared" si="0"/>
        <v>110.19695828124911</v>
      </c>
    </row>
    <row r="86" spans="1:8" s="58" customFormat="1" ht="12">
      <c r="A86" s="541"/>
      <c r="B86" s="548"/>
      <c r="C86" s="158" t="s">
        <v>18</v>
      </c>
      <c r="D86" s="159" t="s">
        <v>19</v>
      </c>
      <c r="E86" s="244">
        <v>692576</v>
      </c>
      <c r="F86" s="252">
        <v>790381.55</v>
      </c>
      <c r="G86" s="251">
        <v>0</v>
      </c>
      <c r="H86" s="201">
        <f t="shared" si="0"/>
        <v>114.12199527560875</v>
      </c>
    </row>
    <row r="87" spans="1:8" s="58" customFormat="1" ht="35.25" customHeight="1">
      <c r="A87" s="541"/>
      <c r="B87" s="545"/>
      <c r="C87" s="158" t="s">
        <v>181</v>
      </c>
      <c r="D87" s="159" t="s">
        <v>248</v>
      </c>
      <c r="E87" s="244">
        <v>696000</v>
      </c>
      <c r="F87" s="252">
        <v>728960.31</v>
      </c>
      <c r="G87" s="251">
        <v>0</v>
      </c>
      <c r="H87" s="201">
        <f t="shared" si="0"/>
        <v>104.73567672413795</v>
      </c>
    </row>
    <row r="88" spans="1:8" s="58" customFormat="1" ht="12">
      <c r="A88" s="541"/>
      <c r="B88" s="545"/>
      <c r="C88" s="158" t="s">
        <v>37</v>
      </c>
      <c r="D88" s="114" t="s">
        <v>38</v>
      </c>
      <c r="E88" s="244">
        <v>10000</v>
      </c>
      <c r="F88" s="252">
        <v>19088.14</v>
      </c>
      <c r="G88" s="251">
        <v>0</v>
      </c>
      <c r="H88" s="201">
        <f t="shared" si="0"/>
        <v>190.88140000000001</v>
      </c>
    </row>
    <row r="89" spans="1:8" s="58" customFormat="1" ht="35.25" customHeight="1">
      <c r="A89" s="541"/>
      <c r="B89" s="545"/>
      <c r="C89" s="161" t="s">
        <v>21</v>
      </c>
      <c r="D89" s="111" t="s">
        <v>169</v>
      </c>
      <c r="E89" s="244">
        <v>3000</v>
      </c>
      <c r="F89" s="252">
        <v>3950</v>
      </c>
      <c r="G89" s="251">
        <v>0</v>
      </c>
      <c r="H89" s="201">
        <f t="shared" ref="H89:H152" si="10">(F89+G89)/E89*100</f>
        <v>131.66666666666666</v>
      </c>
    </row>
    <row r="90" spans="1:8" s="58" customFormat="1" ht="22.5" customHeight="1">
      <c r="A90" s="541"/>
      <c r="B90" s="546"/>
      <c r="C90" s="162" t="s">
        <v>224</v>
      </c>
      <c r="D90" s="111" t="s">
        <v>228</v>
      </c>
      <c r="E90" s="244">
        <v>0</v>
      </c>
      <c r="F90" s="252">
        <v>2114.12</v>
      </c>
      <c r="G90" s="251">
        <v>0</v>
      </c>
      <c r="H90" s="201"/>
    </row>
    <row r="91" spans="1:8" s="58" customFormat="1" ht="22.5">
      <c r="A91" s="541"/>
      <c r="B91" s="231">
        <v>75622</v>
      </c>
      <c r="C91" s="205"/>
      <c r="D91" s="163" t="s">
        <v>80</v>
      </c>
      <c r="E91" s="245">
        <f>E92+E93</f>
        <v>4498221</v>
      </c>
      <c r="F91" s="253">
        <f>F92+F93</f>
        <v>4422644.97</v>
      </c>
      <c r="G91" s="251">
        <v>0</v>
      </c>
      <c r="H91" s="201">
        <f t="shared" si="10"/>
        <v>98.319868454662412</v>
      </c>
    </row>
    <row r="92" spans="1:8" s="58" customFormat="1" ht="12">
      <c r="A92" s="541"/>
      <c r="B92" s="549"/>
      <c r="C92" s="150" t="s">
        <v>16</v>
      </c>
      <c r="D92" s="114" t="s">
        <v>15</v>
      </c>
      <c r="E92" s="243">
        <v>4388221</v>
      </c>
      <c r="F92" s="251">
        <v>4294189</v>
      </c>
      <c r="G92" s="251">
        <v>0</v>
      </c>
      <c r="H92" s="201">
        <f t="shared" si="10"/>
        <v>97.857172644677647</v>
      </c>
    </row>
    <row r="93" spans="1:8" s="58" customFormat="1" ht="12">
      <c r="A93" s="541"/>
      <c r="B93" s="550"/>
      <c r="C93" s="150" t="s">
        <v>52</v>
      </c>
      <c r="D93" s="114" t="s">
        <v>53</v>
      </c>
      <c r="E93" s="243">
        <v>110000</v>
      </c>
      <c r="F93" s="251">
        <v>128455.97</v>
      </c>
      <c r="G93" s="251">
        <v>0</v>
      </c>
      <c r="H93" s="201">
        <f t="shared" si="10"/>
        <v>116.77815454545456</v>
      </c>
    </row>
    <row r="94" spans="1:8" s="58" customFormat="1" ht="12">
      <c r="A94" s="165">
        <v>758</v>
      </c>
      <c r="B94" s="153"/>
      <c r="C94" s="151"/>
      <c r="D94" s="152" t="s">
        <v>33</v>
      </c>
      <c r="E94" s="242">
        <f>E95+E97+E99+E101</f>
        <v>28161325</v>
      </c>
      <c r="F94" s="250">
        <f>F95+F97+F99+F101</f>
        <v>28165462.239999998</v>
      </c>
      <c r="G94" s="250">
        <v>0</v>
      </c>
      <c r="H94" s="202">
        <f t="shared" si="10"/>
        <v>100.01469121214998</v>
      </c>
    </row>
    <row r="95" spans="1:8" s="58" customFormat="1" ht="12">
      <c r="A95" s="547"/>
      <c r="B95" s="206">
        <v>75801</v>
      </c>
      <c r="C95" s="150"/>
      <c r="D95" s="114" t="s">
        <v>81</v>
      </c>
      <c r="E95" s="243">
        <f>E96</f>
        <v>17731844</v>
      </c>
      <c r="F95" s="251">
        <f>F96</f>
        <v>17731844</v>
      </c>
      <c r="G95" s="251">
        <v>0</v>
      </c>
      <c r="H95" s="201">
        <f t="shared" si="10"/>
        <v>100</v>
      </c>
    </row>
    <row r="96" spans="1:8" s="58" customFormat="1" ht="12">
      <c r="A96" s="547"/>
      <c r="B96" s="206"/>
      <c r="C96" s="206">
        <v>2920</v>
      </c>
      <c r="D96" s="114" t="s">
        <v>17</v>
      </c>
      <c r="E96" s="243">
        <v>17731844</v>
      </c>
      <c r="F96" s="251">
        <v>17731844</v>
      </c>
      <c r="G96" s="251">
        <v>0</v>
      </c>
      <c r="H96" s="201">
        <f t="shared" si="10"/>
        <v>100</v>
      </c>
    </row>
    <row r="97" spans="1:8" s="58" customFormat="1" ht="12">
      <c r="A97" s="547"/>
      <c r="B97" s="206">
        <v>75803</v>
      </c>
      <c r="C97" s="150"/>
      <c r="D97" s="114" t="s">
        <v>82</v>
      </c>
      <c r="E97" s="243">
        <f>E98</f>
        <v>8837957</v>
      </c>
      <c r="F97" s="251">
        <f>F98</f>
        <v>8837957</v>
      </c>
      <c r="G97" s="251">
        <v>0</v>
      </c>
      <c r="H97" s="201">
        <f t="shared" si="10"/>
        <v>100</v>
      </c>
    </row>
    <row r="98" spans="1:8" s="58" customFormat="1" ht="12">
      <c r="A98" s="547"/>
      <c r="B98" s="206"/>
      <c r="C98" s="206">
        <v>2920</v>
      </c>
      <c r="D98" s="114" t="s">
        <v>17</v>
      </c>
      <c r="E98" s="243">
        <v>8837957</v>
      </c>
      <c r="F98" s="251">
        <f>E98</f>
        <v>8837957</v>
      </c>
      <c r="G98" s="251">
        <v>0</v>
      </c>
      <c r="H98" s="201">
        <f t="shared" si="10"/>
        <v>100</v>
      </c>
    </row>
    <row r="99" spans="1:8" s="58" customFormat="1" ht="12">
      <c r="A99" s="547"/>
      <c r="B99" s="206">
        <v>75814</v>
      </c>
      <c r="C99" s="206"/>
      <c r="D99" s="114" t="s">
        <v>83</v>
      </c>
      <c r="E99" s="243">
        <f>E100</f>
        <v>50000</v>
      </c>
      <c r="F99" s="251">
        <f>F100</f>
        <v>54137.24</v>
      </c>
      <c r="G99" s="251">
        <v>0</v>
      </c>
      <c r="H99" s="201">
        <f t="shared" si="10"/>
        <v>108.27448</v>
      </c>
    </row>
    <row r="100" spans="1:8" s="58" customFormat="1" ht="12">
      <c r="A100" s="547"/>
      <c r="B100" s="206"/>
      <c r="C100" s="150" t="s">
        <v>49</v>
      </c>
      <c r="D100" s="114" t="s">
        <v>59</v>
      </c>
      <c r="E100" s="243">
        <v>50000</v>
      </c>
      <c r="F100" s="251">
        <v>54137.24</v>
      </c>
      <c r="G100" s="251">
        <v>0</v>
      </c>
      <c r="H100" s="201">
        <f t="shared" si="10"/>
        <v>108.27448</v>
      </c>
    </row>
    <row r="101" spans="1:8" s="58" customFormat="1" ht="12">
      <c r="A101" s="547"/>
      <c r="B101" s="206">
        <v>75832</v>
      </c>
      <c r="C101" s="150"/>
      <c r="D101" s="114" t="s">
        <v>84</v>
      </c>
      <c r="E101" s="243">
        <f>E102</f>
        <v>1541524</v>
      </c>
      <c r="F101" s="251">
        <f>F102</f>
        <v>1541524</v>
      </c>
      <c r="G101" s="251">
        <v>0</v>
      </c>
      <c r="H101" s="201">
        <f t="shared" si="10"/>
        <v>100</v>
      </c>
    </row>
    <row r="102" spans="1:8" s="58" customFormat="1" ht="12">
      <c r="A102" s="547"/>
      <c r="B102" s="206"/>
      <c r="C102" s="206">
        <v>2920</v>
      </c>
      <c r="D102" s="114" t="s">
        <v>17</v>
      </c>
      <c r="E102" s="243">
        <v>1541524</v>
      </c>
      <c r="F102" s="251">
        <f>E102</f>
        <v>1541524</v>
      </c>
      <c r="G102" s="251">
        <v>0</v>
      </c>
      <c r="H102" s="201">
        <f t="shared" si="10"/>
        <v>100</v>
      </c>
    </row>
    <row r="103" spans="1:8" s="58" customFormat="1" ht="12">
      <c r="A103" s="157">
        <v>801</v>
      </c>
      <c r="B103" s="153"/>
      <c r="C103" s="153"/>
      <c r="D103" s="152" t="s">
        <v>54</v>
      </c>
      <c r="E103" s="242">
        <f>E104+E110+E116+E122+E126+E108+E128</f>
        <v>837830.39</v>
      </c>
      <c r="F103" s="242">
        <f t="shared" ref="F103:G103" si="11">F104+F110+F116+F122+F126+F108+F128</f>
        <v>466767.17</v>
      </c>
      <c r="G103" s="242">
        <f t="shared" si="11"/>
        <v>400000</v>
      </c>
      <c r="H103" s="202">
        <f t="shared" si="10"/>
        <v>103.45377541151257</v>
      </c>
    </row>
    <row r="104" spans="1:8" s="58" customFormat="1" ht="12">
      <c r="A104" s="540"/>
      <c r="B104" s="207">
        <v>80102</v>
      </c>
      <c r="C104" s="206"/>
      <c r="D104" s="114" t="s">
        <v>41</v>
      </c>
      <c r="E104" s="243">
        <f>SUM(E105:E107)</f>
        <v>12250</v>
      </c>
      <c r="F104" s="251">
        <f>SUM(F105:F107)</f>
        <v>12513.3</v>
      </c>
      <c r="G104" s="251">
        <v>0</v>
      </c>
      <c r="H104" s="201">
        <f t="shared" si="10"/>
        <v>102.14938775510203</v>
      </c>
    </row>
    <row r="105" spans="1:8" s="58" customFormat="1" ht="56.25">
      <c r="A105" s="541"/>
      <c r="B105" s="554"/>
      <c r="C105" s="150" t="s">
        <v>21</v>
      </c>
      <c r="D105" s="111" t="s">
        <v>169</v>
      </c>
      <c r="E105" s="243">
        <v>5800</v>
      </c>
      <c r="F105" s="251">
        <v>6020</v>
      </c>
      <c r="G105" s="251">
        <v>0</v>
      </c>
      <c r="H105" s="201">
        <f t="shared" si="10"/>
        <v>103.79310344827586</v>
      </c>
    </row>
    <row r="106" spans="1:8" s="58" customFormat="1" ht="12">
      <c r="A106" s="541"/>
      <c r="B106" s="555"/>
      <c r="C106" s="150" t="s">
        <v>49</v>
      </c>
      <c r="D106" s="111" t="s">
        <v>59</v>
      </c>
      <c r="E106" s="243">
        <v>450</v>
      </c>
      <c r="F106" s="251">
        <v>493.3</v>
      </c>
      <c r="G106" s="251">
        <v>0</v>
      </c>
      <c r="H106" s="201">
        <f t="shared" si="10"/>
        <v>109.62222222222222</v>
      </c>
    </row>
    <row r="107" spans="1:8" s="58" customFormat="1" ht="33.75">
      <c r="A107" s="541"/>
      <c r="B107" s="556"/>
      <c r="C107" s="150">
        <v>2130</v>
      </c>
      <c r="D107" s="111" t="s">
        <v>25</v>
      </c>
      <c r="E107" s="243">
        <v>6000</v>
      </c>
      <c r="F107" s="251">
        <v>6000</v>
      </c>
      <c r="G107" s="251">
        <v>0</v>
      </c>
      <c r="H107" s="201">
        <f t="shared" si="10"/>
        <v>100</v>
      </c>
    </row>
    <row r="108" spans="1:8" s="58" customFormat="1" ht="12">
      <c r="A108" s="541"/>
      <c r="B108" s="233">
        <v>80111</v>
      </c>
      <c r="C108" s="150"/>
      <c r="D108" s="111" t="s">
        <v>112</v>
      </c>
      <c r="E108" s="243">
        <f>E109</f>
        <v>400000</v>
      </c>
      <c r="F108" s="251">
        <v>0</v>
      </c>
      <c r="G108" s="251">
        <f>G109</f>
        <v>400000</v>
      </c>
      <c r="H108" s="201">
        <f t="shared" si="10"/>
        <v>100</v>
      </c>
    </row>
    <row r="109" spans="1:8" s="58" customFormat="1" ht="56.25">
      <c r="A109" s="541"/>
      <c r="B109" s="233"/>
      <c r="C109" s="150">
        <v>6260</v>
      </c>
      <c r="D109" s="111" t="s">
        <v>254</v>
      </c>
      <c r="E109" s="243">
        <v>400000</v>
      </c>
      <c r="F109" s="251">
        <v>0</v>
      </c>
      <c r="G109" s="251">
        <v>400000</v>
      </c>
      <c r="H109" s="201">
        <f t="shared" si="10"/>
        <v>100</v>
      </c>
    </row>
    <row r="110" spans="1:8" s="58" customFormat="1" ht="12">
      <c r="A110" s="541"/>
      <c r="B110" s="207">
        <v>80120</v>
      </c>
      <c r="C110" s="206"/>
      <c r="D110" s="114" t="s">
        <v>47</v>
      </c>
      <c r="E110" s="246">
        <f>SUM(E111:E115)</f>
        <v>43929.39</v>
      </c>
      <c r="F110" s="254">
        <f>SUM(F111:F115)</f>
        <v>68048.88</v>
      </c>
      <c r="G110" s="254">
        <f>SUM(G111:G115)</f>
        <v>0</v>
      </c>
      <c r="H110" s="201">
        <f t="shared" si="10"/>
        <v>154.90513298727802</v>
      </c>
    </row>
    <row r="111" spans="1:8" s="58" customFormat="1" ht="12">
      <c r="A111" s="541"/>
      <c r="B111" s="541"/>
      <c r="C111" s="150" t="s">
        <v>37</v>
      </c>
      <c r="D111" s="114" t="s">
        <v>38</v>
      </c>
      <c r="E111" s="243">
        <f>500+86</f>
        <v>586</v>
      </c>
      <c r="F111" s="251">
        <v>737.4</v>
      </c>
      <c r="G111" s="251">
        <v>0</v>
      </c>
      <c r="H111" s="201">
        <f t="shared" si="10"/>
        <v>125.83617747440272</v>
      </c>
    </row>
    <row r="112" spans="1:8" s="58" customFormat="1" ht="56.25">
      <c r="A112" s="541"/>
      <c r="B112" s="541"/>
      <c r="C112" s="150" t="s">
        <v>21</v>
      </c>
      <c r="D112" s="111" t="s">
        <v>169</v>
      </c>
      <c r="E112" s="243">
        <v>39861</v>
      </c>
      <c r="F112" s="251">
        <v>59203.01</v>
      </c>
      <c r="G112" s="251">
        <v>0</v>
      </c>
      <c r="H112" s="201">
        <f t="shared" si="10"/>
        <v>148.52364466521161</v>
      </c>
    </row>
    <row r="113" spans="1:8" s="58" customFormat="1" ht="12">
      <c r="A113" s="541"/>
      <c r="B113" s="541"/>
      <c r="C113" s="150" t="s">
        <v>55</v>
      </c>
      <c r="D113" s="111" t="s">
        <v>57</v>
      </c>
      <c r="E113" s="243">
        <v>600</v>
      </c>
      <c r="F113" s="251">
        <v>793.5</v>
      </c>
      <c r="G113" s="251">
        <v>0</v>
      </c>
      <c r="H113" s="201">
        <f t="shared" si="10"/>
        <v>132.25</v>
      </c>
    </row>
    <row r="114" spans="1:8" s="58" customFormat="1" ht="12">
      <c r="A114" s="541"/>
      <c r="B114" s="541"/>
      <c r="C114" s="150" t="s">
        <v>49</v>
      </c>
      <c r="D114" s="111" t="s">
        <v>59</v>
      </c>
      <c r="E114" s="243">
        <v>451</v>
      </c>
      <c r="F114" s="251">
        <v>1345</v>
      </c>
      <c r="G114" s="251">
        <v>0</v>
      </c>
      <c r="H114" s="201">
        <f t="shared" si="10"/>
        <v>298.22616407982264</v>
      </c>
    </row>
    <row r="115" spans="1:8" s="58" customFormat="1" ht="12">
      <c r="A115" s="541"/>
      <c r="B115" s="541"/>
      <c r="C115" s="150" t="s">
        <v>56</v>
      </c>
      <c r="D115" s="111" t="s">
        <v>58</v>
      </c>
      <c r="E115" s="243">
        <v>2431.39</v>
      </c>
      <c r="F115" s="251">
        <v>5969.97</v>
      </c>
      <c r="G115" s="251">
        <v>0</v>
      </c>
      <c r="H115" s="201">
        <f t="shared" si="10"/>
        <v>245.53732638531872</v>
      </c>
    </row>
    <row r="116" spans="1:8" s="58" customFormat="1" ht="12">
      <c r="A116" s="541"/>
      <c r="B116" s="235">
        <v>80130</v>
      </c>
      <c r="C116" s="206"/>
      <c r="D116" s="114" t="s">
        <v>43</v>
      </c>
      <c r="E116" s="246">
        <f>SUM(E117:E121)</f>
        <v>88699</v>
      </c>
      <c r="F116" s="254">
        <f>SUM(F117:F121)</f>
        <v>92139.17</v>
      </c>
      <c r="G116" s="251">
        <v>0</v>
      </c>
      <c r="H116" s="201">
        <f t="shared" si="10"/>
        <v>103.87847664573444</v>
      </c>
    </row>
    <row r="117" spans="1:8" s="58" customFormat="1" ht="12">
      <c r="A117" s="541"/>
      <c r="B117" s="541"/>
      <c r="C117" s="161" t="s">
        <v>37</v>
      </c>
      <c r="D117" s="114" t="s">
        <v>38</v>
      </c>
      <c r="E117" s="243">
        <v>1559</v>
      </c>
      <c r="F117" s="251">
        <v>2025.88</v>
      </c>
      <c r="G117" s="251">
        <v>0</v>
      </c>
      <c r="H117" s="201">
        <f t="shared" si="10"/>
        <v>129.94740218088518</v>
      </c>
    </row>
    <row r="118" spans="1:8" s="58" customFormat="1" ht="56.25">
      <c r="A118" s="541"/>
      <c r="B118" s="541"/>
      <c r="C118" s="161" t="s">
        <v>21</v>
      </c>
      <c r="D118" s="111" t="s">
        <v>169</v>
      </c>
      <c r="E118" s="243">
        <v>60296</v>
      </c>
      <c r="F118" s="251">
        <v>62339.39</v>
      </c>
      <c r="G118" s="251">
        <v>0</v>
      </c>
      <c r="H118" s="201">
        <f t="shared" si="10"/>
        <v>103.38893127238956</v>
      </c>
    </row>
    <row r="119" spans="1:8" s="58" customFormat="1" ht="12">
      <c r="A119" s="541"/>
      <c r="B119" s="541"/>
      <c r="C119" s="161" t="s">
        <v>55</v>
      </c>
      <c r="D119" s="111" t="s">
        <v>57</v>
      </c>
      <c r="E119" s="243">
        <v>13979</v>
      </c>
      <c r="F119" s="251">
        <v>14174.97</v>
      </c>
      <c r="G119" s="251">
        <v>0</v>
      </c>
      <c r="H119" s="201">
        <f t="shared" si="10"/>
        <v>101.40188854710637</v>
      </c>
    </row>
    <row r="120" spans="1:8" s="58" customFormat="1" ht="12">
      <c r="A120" s="541"/>
      <c r="B120" s="541"/>
      <c r="C120" s="161" t="s">
        <v>49</v>
      </c>
      <c r="D120" s="111" t="s">
        <v>59</v>
      </c>
      <c r="E120" s="243">
        <v>2502</v>
      </c>
      <c r="F120" s="251">
        <v>1942.16</v>
      </c>
      <c r="G120" s="251">
        <v>0</v>
      </c>
      <c r="H120" s="201">
        <f t="shared" si="10"/>
        <v>77.624300559552367</v>
      </c>
    </row>
    <row r="121" spans="1:8" s="58" customFormat="1" ht="12">
      <c r="A121" s="541"/>
      <c r="B121" s="541"/>
      <c r="C121" s="161" t="s">
        <v>56</v>
      </c>
      <c r="D121" s="111" t="s">
        <v>58</v>
      </c>
      <c r="E121" s="243">
        <v>10363</v>
      </c>
      <c r="F121" s="251">
        <v>11656.77</v>
      </c>
      <c r="G121" s="251">
        <v>0</v>
      </c>
      <c r="H121" s="201">
        <f t="shared" si="10"/>
        <v>112.4845122068899</v>
      </c>
    </row>
    <row r="122" spans="1:8" s="58" customFormat="1" ht="22.5" customHeight="1">
      <c r="A122" s="541"/>
      <c r="B122" s="206">
        <v>80140</v>
      </c>
      <c r="C122" s="161"/>
      <c r="D122" s="111" t="s">
        <v>184</v>
      </c>
      <c r="E122" s="243">
        <f>E123+E124+E125</f>
        <v>130450</v>
      </c>
      <c r="F122" s="251">
        <f>SUM(F123:F125)</f>
        <v>127034.27</v>
      </c>
      <c r="G122" s="251">
        <v>0</v>
      </c>
      <c r="H122" s="201">
        <f t="shared" si="10"/>
        <v>97.381579149099267</v>
      </c>
    </row>
    <row r="123" spans="1:8" s="58" customFormat="1" ht="23.25" customHeight="1">
      <c r="A123" s="541"/>
      <c r="B123" s="540"/>
      <c r="C123" s="161" t="s">
        <v>21</v>
      </c>
      <c r="D123" s="111" t="s">
        <v>169</v>
      </c>
      <c r="E123" s="243">
        <v>75096</v>
      </c>
      <c r="F123" s="251">
        <v>75739.02</v>
      </c>
      <c r="G123" s="251">
        <v>0</v>
      </c>
      <c r="H123" s="201">
        <f t="shared" si="10"/>
        <v>100.85626398210292</v>
      </c>
    </row>
    <row r="124" spans="1:8" s="58" customFormat="1" ht="12">
      <c r="A124" s="541"/>
      <c r="B124" s="541"/>
      <c r="C124" s="161" t="s">
        <v>55</v>
      </c>
      <c r="D124" s="111" t="s">
        <v>57</v>
      </c>
      <c r="E124" s="243">
        <v>53882</v>
      </c>
      <c r="F124" s="251">
        <v>49789.29</v>
      </c>
      <c r="G124" s="251">
        <v>0</v>
      </c>
      <c r="H124" s="201">
        <f t="shared" si="10"/>
        <v>92.404309416873915</v>
      </c>
    </row>
    <row r="125" spans="1:8" s="58" customFormat="1" ht="12">
      <c r="A125" s="541"/>
      <c r="B125" s="541"/>
      <c r="C125" s="161" t="s">
        <v>49</v>
      </c>
      <c r="D125" s="111" t="s">
        <v>59</v>
      </c>
      <c r="E125" s="243">
        <v>1472</v>
      </c>
      <c r="F125" s="251">
        <v>1505.96</v>
      </c>
      <c r="G125" s="251">
        <v>0</v>
      </c>
      <c r="H125" s="201">
        <f t="shared" si="10"/>
        <v>102.3070652173913</v>
      </c>
    </row>
    <row r="126" spans="1:8" s="58" customFormat="1" ht="12">
      <c r="A126" s="541"/>
      <c r="B126" s="231">
        <v>80148</v>
      </c>
      <c r="C126" s="161"/>
      <c r="D126" s="111" t="s">
        <v>189</v>
      </c>
      <c r="E126" s="243">
        <f>E127</f>
        <v>161306</v>
      </c>
      <c r="F126" s="251">
        <f>F127</f>
        <v>165835.54999999999</v>
      </c>
      <c r="G126" s="251">
        <v>0</v>
      </c>
      <c r="H126" s="201">
        <f t="shared" si="10"/>
        <v>102.80804805772878</v>
      </c>
    </row>
    <row r="127" spans="1:8" s="58" customFormat="1" ht="12">
      <c r="A127" s="541"/>
      <c r="B127" s="205"/>
      <c r="C127" s="161" t="s">
        <v>55</v>
      </c>
      <c r="D127" s="111" t="s">
        <v>57</v>
      </c>
      <c r="E127" s="243">
        <v>161306</v>
      </c>
      <c r="F127" s="251">
        <v>165835.54999999999</v>
      </c>
      <c r="G127" s="251">
        <v>0</v>
      </c>
      <c r="H127" s="201">
        <f t="shared" si="10"/>
        <v>102.80804805772878</v>
      </c>
    </row>
    <row r="128" spans="1:8" s="58" customFormat="1" ht="12">
      <c r="A128" s="541"/>
      <c r="B128" s="364">
        <v>80195</v>
      </c>
      <c r="C128" s="161"/>
      <c r="D128" s="111" t="s">
        <v>74</v>
      </c>
      <c r="E128" s="243">
        <f>E129</f>
        <v>1196</v>
      </c>
      <c r="F128" s="251">
        <f>F129</f>
        <v>1196</v>
      </c>
      <c r="G128" s="251">
        <f>G129</f>
        <v>0</v>
      </c>
      <c r="H128" s="201">
        <f t="shared" si="10"/>
        <v>100</v>
      </c>
    </row>
    <row r="129" spans="1:8" s="58" customFormat="1" ht="33.75">
      <c r="A129" s="542"/>
      <c r="B129" s="364"/>
      <c r="C129" s="150">
        <v>2130</v>
      </c>
      <c r="D129" s="111" t="s">
        <v>25</v>
      </c>
      <c r="E129" s="243">
        <v>1196</v>
      </c>
      <c r="F129" s="251">
        <v>1196</v>
      </c>
      <c r="G129" s="251">
        <v>0</v>
      </c>
      <c r="H129" s="201">
        <f t="shared" si="10"/>
        <v>100</v>
      </c>
    </row>
    <row r="130" spans="1:8" s="58" customFormat="1" ht="12">
      <c r="A130" s="153">
        <v>851</v>
      </c>
      <c r="B130" s="153"/>
      <c r="C130" s="153"/>
      <c r="D130" s="152" t="s">
        <v>34</v>
      </c>
      <c r="E130" s="242">
        <f>E131</f>
        <v>2302000</v>
      </c>
      <c r="F130" s="250">
        <f>F131</f>
        <v>2174883.0099999998</v>
      </c>
      <c r="G130" s="250">
        <f>G131</f>
        <v>0</v>
      </c>
      <c r="H130" s="202">
        <f t="shared" si="10"/>
        <v>94.477976107732403</v>
      </c>
    </row>
    <row r="131" spans="1:8" s="58" customFormat="1" ht="12">
      <c r="A131" s="545"/>
      <c r="B131" s="206">
        <v>85156</v>
      </c>
      <c r="C131" s="206"/>
      <c r="D131" s="115" t="s">
        <v>88</v>
      </c>
      <c r="E131" s="243">
        <f>E132</f>
        <v>2302000</v>
      </c>
      <c r="F131" s="251">
        <f>F132</f>
        <v>2174883.0099999998</v>
      </c>
      <c r="G131" s="251">
        <v>0</v>
      </c>
      <c r="H131" s="201">
        <f t="shared" si="10"/>
        <v>94.477976107732403</v>
      </c>
    </row>
    <row r="132" spans="1:8" s="58" customFormat="1" ht="33.75" customHeight="1">
      <c r="A132" s="546"/>
      <c r="B132" s="206"/>
      <c r="C132" s="206">
        <v>2110</v>
      </c>
      <c r="D132" s="111" t="s">
        <v>65</v>
      </c>
      <c r="E132" s="243">
        <v>2302000</v>
      </c>
      <c r="F132" s="251">
        <v>2174883.0099999998</v>
      </c>
      <c r="G132" s="251">
        <v>0</v>
      </c>
      <c r="H132" s="201">
        <f t="shared" si="10"/>
        <v>94.477976107732403</v>
      </c>
    </row>
    <row r="133" spans="1:8" s="58" customFormat="1" ht="12">
      <c r="A133" s="153">
        <v>852</v>
      </c>
      <c r="B133" s="153"/>
      <c r="C133" s="153"/>
      <c r="D133" s="154" t="s">
        <v>35</v>
      </c>
      <c r="E133" s="242">
        <f>E134+E145+E147+E152+E159+E165+E157</f>
        <v>4678136.9700000007</v>
      </c>
      <c r="F133" s="250">
        <f>F134+F145+F147+F152+F159+F165+F157</f>
        <v>4744363.82</v>
      </c>
      <c r="G133" s="250">
        <v>0</v>
      </c>
      <c r="H133" s="202">
        <f t="shared" si="10"/>
        <v>101.41566718599091</v>
      </c>
    </row>
    <row r="134" spans="1:8" s="58" customFormat="1" ht="12">
      <c r="A134" s="540" t="s">
        <v>12</v>
      </c>
      <c r="B134" s="206">
        <v>85201</v>
      </c>
      <c r="C134" s="206"/>
      <c r="D134" s="111" t="s">
        <v>89</v>
      </c>
      <c r="E134" s="247">
        <f>SUM(E135:E144)</f>
        <v>2025171.99</v>
      </c>
      <c r="F134" s="255">
        <f>SUM(F135:F144)</f>
        <v>2025147.51</v>
      </c>
      <c r="G134" s="251">
        <v>0</v>
      </c>
      <c r="H134" s="201">
        <f t="shared" si="10"/>
        <v>99.998791213777366</v>
      </c>
    </row>
    <row r="135" spans="1:8" s="58" customFormat="1" ht="22.5">
      <c r="A135" s="541"/>
      <c r="B135" s="540"/>
      <c r="C135" s="150" t="s">
        <v>130</v>
      </c>
      <c r="D135" s="116" t="s">
        <v>162</v>
      </c>
      <c r="E135" s="243">
        <v>1150</v>
      </c>
      <c r="F135" s="251">
        <v>1150</v>
      </c>
      <c r="G135" s="251">
        <v>0</v>
      </c>
      <c r="H135" s="201">
        <f t="shared" si="10"/>
        <v>100</v>
      </c>
    </row>
    <row r="136" spans="1:8" s="58" customFormat="1" ht="33.75">
      <c r="A136" s="541"/>
      <c r="B136" s="541"/>
      <c r="C136" s="150" t="s">
        <v>148</v>
      </c>
      <c r="D136" s="111" t="s">
        <v>159</v>
      </c>
      <c r="E136" s="243">
        <v>5685</v>
      </c>
      <c r="F136" s="251">
        <v>5866.92</v>
      </c>
      <c r="G136" s="251">
        <v>0</v>
      </c>
      <c r="H136" s="201">
        <f t="shared" si="10"/>
        <v>103.2</v>
      </c>
    </row>
    <row r="137" spans="1:8" s="58" customFormat="1" ht="12">
      <c r="A137" s="541"/>
      <c r="B137" s="541"/>
      <c r="C137" s="150" t="s">
        <v>37</v>
      </c>
      <c r="D137" s="114" t="s">
        <v>38</v>
      </c>
      <c r="E137" s="243">
        <v>0</v>
      </c>
      <c r="F137" s="251">
        <v>8.8000000000000007</v>
      </c>
      <c r="G137" s="251">
        <v>0</v>
      </c>
      <c r="H137" s="201"/>
    </row>
    <row r="138" spans="1:8" s="58" customFormat="1" ht="56.25">
      <c r="A138" s="541"/>
      <c r="B138" s="541"/>
      <c r="C138" s="150" t="s">
        <v>21</v>
      </c>
      <c r="D138" s="111" t="s">
        <v>169</v>
      </c>
      <c r="E138" s="243">
        <v>4601</v>
      </c>
      <c r="F138" s="251">
        <v>4600.8900000000003</v>
      </c>
      <c r="G138" s="251">
        <v>0</v>
      </c>
      <c r="H138" s="201">
        <f t="shared" si="10"/>
        <v>99.997609215387968</v>
      </c>
    </row>
    <row r="139" spans="1:8" s="58" customFormat="1" ht="12">
      <c r="A139" s="541"/>
      <c r="B139" s="541"/>
      <c r="C139" s="150" t="s">
        <v>49</v>
      </c>
      <c r="D139" s="111" t="s">
        <v>59</v>
      </c>
      <c r="E139" s="243">
        <v>2402</v>
      </c>
      <c r="F139" s="251">
        <v>2656.08</v>
      </c>
      <c r="G139" s="251">
        <v>0</v>
      </c>
      <c r="H139" s="201">
        <f t="shared" si="10"/>
        <v>110.57785179017485</v>
      </c>
    </row>
    <row r="140" spans="1:8" s="58" customFormat="1" ht="22.5">
      <c r="A140" s="541"/>
      <c r="B140" s="541"/>
      <c r="C140" s="150" t="s">
        <v>101</v>
      </c>
      <c r="D140" s="111" t="s">
        <v>158</v>
      </c>
      <c r="E140" s="243">
        <v>9925</v>
      </c>
      <c r="F140" s="251">
        <v>11305.81</v>
      </c>
      <c r="G140" s="251">
        <v>0</v>
      </c>
      <c r="H140" s="201">
        <f t="shared" si="10"/>
        <v>113.91244332493702</v>
      </c>
    </row>
    <row r="141" spans="1:8" s="58" customFormat="1" ht="12">
      <c r="A141" s="541"/>
      <c r="B141" s="541"/>
      <c r="C141" s="150" t="s">
        <v>56</v>
      </c>
      <c r="D141" s="111" t="s">
        <v>58</v>
      </c>
      <c r="E141" s="243">
        <v>267</v>
      </c>
      <c r="F141" s="251">
        <v>968.71</v>
      </c>
      <c r="G141" s="251">
        <v>0</v>
      </c>
      <c r="H141" s="201">
        <f t="shared" si="10"/>
        <v>362.81273408239701</v>
      </c>
    </row>
    <row r="142" spans="1:8" s="58" customFormat="1" ht="33.75">
      <c r="A142" s="541"/>
      <c r="B142" s="541"/>
      <c r="C142" s="206">
        <v>2130</v>
      </c>
      <c r="D142" s="111" t="s">
        <v>157</v>
      </c>
      <c r="E142" s="243">
        <v>2858</v>
      </c>
      <c r="F142" s="251">
        <v>2858</v>
      </c>
      <c r="G142" s="251">
        <v>0</v>
      </c>
      <c r="H142" s="201">
        <f t="shared" si="10"/>
        <v>100</v>
      </c>
    </row>
    <row r="143" spans="1:8" s="58" customFormat="1" ht="21.75" customHeight="1">
      <c r="A143" s="541"/>
      <c r="B143" s="541"/>
      <c r="C143" s="206">
        <v>2320</v>
      </c>
      <c r="D143" s="111" t="s">
        <v>136</v>
      </c>
      <c r="E143" s="243">
        <v>1878283.99</v>
      </c>
      <c r="F143" s="251">
        <v>1875732.3</v>
      </c>
      <c r="G143" s="251">
        <v>0</v>
      </c>
      <c r="H143" s="201">
        <f t="shared" si="10"/>
        <v>99.864147806530582</v>
      </c>
    </row>
    <row r="144" spans="1:8" s="58" customFormat="1" ht="48" customHeight="1">
      <c r="A144" s="541"/>
      <c r="B144" s="542"/>
      <c r="C144" s="231">
        <v>2710</v>
      </c>
      <c r="D144" s="111" t="s">
        <v>185</v>
      </c>
      <c r="E144" s="243">
        <v>120000</v>
      </c>
      <c r="F144" s="251">
        <v>120000</v>
      </c>
      <c r="G144" s="251">
        <v>0</v>
      </c>
      <c r="H144" s="201">
        <f t="shared" si="10"/>
        <v>100</v>
      </c>
    </row>
    <row r="145" spans="1:8" s="58" customFormat="1" ht="12">
      <c r="A145" s="541"/>
      <c r="B145" s="206">
        <v>85202</v>
      </c>
      <c r="C145" s="206"/>
      <c r="D145" s="111" t="s">
        <v>90</v>
      </c>
      <c r="E145" s="243">
        <f>E146</f>
        <v>1794624</v>
      </c>
      <c r="F145" s="251">
        <f>F146</f>
        <v>1794624</v>
      </c>
      <c r="G145" s="251">
        <v>0</v>
      </c>
      <c r="H145" s="201">
        <f t="shared" si="10"/>
        <v>100</v>
      </c>
    </row>
    <row r="146" spans="1:8" s="58" customFormat="1" ht="33.75" customHeight="1">
      <c r="A146" s="541"/>
      <c r="B146" s="235"/>
      <c r="C146" s="206">
        <v>2130</v>
      </c>
      <c r="D146" s="111" t="s">
        <v>25</v>
      </c>
      <c r="E146" s="243">
        <v>1794624</v>
      </c>
      <c r="F146" s="251">
        <v>1794624</v>
      </c>
      <c r="G146" s="251">
        <v>0</v>
      </c>
      <c r="H146" s="201">
        <f t="shared" si="10"/>
        <v>100</v>
      </c>
    </row>
    <row r="147" spans="1:8" s="58" customFormat="1" ht="12">
      <c r="A147" s="541"/>
      <c r="B147" s="206">
        <v>85203</v>
      </c>
      <c r="C147" s="206"/>
      <c r="D147" s="111" t="s">
        <v>91</v>
      </c>
      <c r="E147" s="243">
        <f>E148+E149+E150</f>
        <v>403180</v>
      </c>
      <c r="F147" s="251">
        <f>SUM(F148:F151)</f>
        <v>407299.56000000006</v>
      </c>
      <c r="G147" s="251">
        <v>0</v>
      </c>
      <c r="H147" s="201">
        <f t="shared" si="10"/>
        <v>101.02176695272584</v>
      </c>
    </row>
    <row r="148" spans="1:8" s="58" customFormat="1" ht="56.25">
      <c r="A148" s="541"/>
      <c r="B148" s="540"/>
      <c r="C148" s="150" t="s">
        <v>21</v>
      </c>
      <c r="D148" s="111" t="s">
        <v>169</v>
      </c>
      <c r="E148" s="243">
        <v>12600</v>
      </c>
      <c r="F148" s="251">
        <v>15900</v>
      </c>
      <c r="G148" s="251">
        <v>0</v>
      </c>
      <c r="H148" s="201"/>
    </row>
    <row r="149" spans="1:8" s="58" customFormat="1" ht="12">
      <c r="A149" s="541"/>
      <c r="B149" s="541"/>
      <c r="C149" s="150" t="s">
        <v>49</v>
      </c>
      <c r="D149" s="111" t="s">
        <v>59</v>
      </c>
      <c r="E149" s="243">
        <v>0</v>
      </c>
      <c r="F149" s="251">
        <v>497.71</v>
      </c>
      <c r="G149" s="251">
        <v>0</v>
      </c>
      <c r="H149" s="201"/>
    </row>
    <row r="150" spans="1:8" s="58" customFormat="1" ht="45">
      <c r="A150" s="541"/>
      <c r="B150" s="541"/>
      <c r="C150" s="206">
        <v>2110</v>
      </c>
      <c r="D150" s="111" t="s">
        <v>65</v>
      </c>
      <c r="E150" s="243">
        <v>390580</v>
      </c>
      <c r="F150" s="251">
        <v>390564.76</v>
      </c>
      <c r="G150" s="251">
        <v>0</v>
      </c>
      <c r="H150" s="201">
        <f t="shared" si="10"/>
        <v>99.996098110502331</v>
      </c>
    </row>
    <row r="151" spans="1:8" s="58" customFormat="1" ht="33" customHeight="1">
      <c r="A151" s="541"/>
      <c r="B151" s="542"/>
      <c r="C151" s="206">
        <v>2360</v>
      </c>
      <c r="D151" s="111" t="s">
        <v>132</v>
      </c>
      <c r="E151" s="243">
        <v>0</v>
      </c>
      <c r="F151" s="251">
        <v>337.09</v>
      </c>
      <c r="G151" s="251">
        <v>0</v>
      </c>
      <c r="H151" s="201"/>
    </row>
    <row r="152" spans="1:8" s="58" customFormat="1" ht="12">
      <c r="A152" s="541"/>
      <c r="B152" s="206">
        <v>85204</v>
      </c>
      <c r="C152" s="206"/>
      <c r="D152" s="111" t="s">
        <v>114</v>
      </c>
      <c r="E152" s="243">
        <f>SUM(E153:E156)</f>
        <v>82499.98</v>
      </c>
      <c r="F152" s="251">
        <f>SUM(F153:F156)</f>
        <v>111859.09</v>
      </c>
      <c r="G152" s="251">
        <v>0</v>
      </c>
      <c r="H152" s="201">
        <f t="shared" si="10"/>
        <v>135.58680862710511</v>
      </c>
    </row>
    <row r="153" spans="1:8" s="58" customFormat="1" ht="12">
      <c r="A153" s="541"/>
      <c r="B153" s="540"/>
      <c r="C153" s="150" t="s">
        <v>49</v>
      </c>
      <c r="D153" s="111" t="s">
        <v>59</v>
      </c>
      <c r="E153" s="243">
        <v>0</v>
      </c>
      <c r="F153" s="251">
        <v>25.2</v>
      </c>
      <c r="G153" s="251">
        <v>0</v>
      </c>
      <c r="H153" s="201"/>
    </row>
    <row r="154" spans="1:8" s="58" customFormat="1" ht="12">
      <c r="A154" s="541"/>
      <c r="B154" s="541"/>
      <c r="C154" s="150" t="s">
        <v>56</v>
      </c>
      <c r="D154" s="111" t="s">
        <v>58</v>
      </c>
      <c r="E154" s="243">
        <v>0</v>
      </c>
      <c r="F154" s="251">
        <v>597.64</v>
      </c>
      <c r="G154" s="251">
        <v>0</v>
      </c>
      <c r="H154" s="201"/>
    </row>
    <row r="155" spans="1:8" s="58" customFormat="1" ht="33.75" customHeight="1">
      <c r="A155" s="541"/>
      <c r="B155" s="541"/>
      <c r="C155" s="150">
        <v>2320</v>
      </c>
      <c r="D155" s="111" t="s">
        <v>136</v>
      </c>
      <c r="E155" s="243">
        <v>82499.98</v>
      </c>
      <c r="F155" s="251">
        <v>110507.05</v>
      </c>
      <c r="G155" s="251">
        <v>0</v>
      </c>
      <c r="H155" s="201">
        <f t="shared" ref="H155:H211" si="12">(F155+G155)/E155*100</f>
        <v>133.94797186617501</v>
      </c>
    </row>
    <row r="156" spans="1:8" s="58" customFormat="1" ht="67.5">
      <c r="A156" s="541"/>
      <c r="B156" s="542"/>
      <c r="C156" s="150">
        <v>2910</v>
      </c>
      <c r="D156" s="111" t="s">
        <v>250</v>
      </c>
      <c r="E156" s="243">
        <v>0</v>
      </c>
      <c r="F156" s="251">
        <v>729.2</v>
      </c>
      <c r="G156" s="251">
        <v>0</v>
      </c>
      <c r="H156" s="201"/>
    </row>
    <row r="157" spans="1:8" s="58" customFormat="1" ht="22.5">
      <c r="A157" s="541"/>
      <c r="B157" s="232">
        <v>85205</v>
      </c>
      <c r="C157" s="150"/>
      <c r="D157" s="111" t="s">
        <v>257</v>
      </c>
      <c r="E157" s="243">
        <f>E158</f>
        <v>322500</v>
      </c>
      <c r="F157" s="251">
        <f>F158</f>
        <v>322297.83</v>
      </c>
      <c r="G157" s="251">
        <v>0</v>
      </c>
      <c r="H157" s="201">
        <f t="shared" si="12"/>
        <v>99.937311627906979</v>
      </c>
    </row>
    <row r="158" spans="1:8" s="58" customFormat="1" ht="33" customHeight="1">
      <c r="A158" s="541"/>
      <c r="B158" s="232"/>
      <c r="C158" s="150">
        <v>2110</v>
      </c>
      <c r="D158" s="111" t="s">
        <v>65</v>
      </c>
      <c r="E158" s="243">
        <v>322500</v>
      </c>
      <c r="F158" s="251">
        <v>322297.83</v>
      </c>
      <c r="G158" s="251">
        <v>0</v>
      </c>
      <c r="H158" s="201">
        <f t="shared" si="12"/>
        <v>99.937311627906979</v>
      </c>
    </row>
    <row r="159" spans="1:8" s="58" customFormat="1" ht="12">
      <c r="A159" s="541"/>
      <c r="B159" s="206">
        <v>85218</v>
      </c>
      <c r="C159" s="206"/>
      <c r="D159" s="111" t="s">
        <v>93</v>
      </c>
      <c r="E159" s="243">
        <f>SUM(E160:E164)</f>
        <v>34348</v>
      </c>
      <c r="F159" s="251">
        <f>SUM(F160:F164)</f>
        <v>67323.63</v>
      </c>
      <c r="G159" s="251">
        <v>0</v>
      </c>
      <c r="H159" s="201">
        <f t="shared" si="12"/>
        <v>196.00451263537909</v>
      </c>
    </row>
    <row r="160" spans="1:8" s="58" customFormat="1" ht="56.25">
      <c r="A160" s="541"/>
      <c r="B160" s="540"/>
      <c r="C160" s="150" t="s">
        <v>21</v>
      </c>
      <c r="D160" s="111" t="s">
        <v>133</v>
      </c>
      <c r="E160" s="243">
        <v>23965</v>
      </c>
      <c r="F160" s="251">
        <v>38613.68</v>
      </c>
      <c r="G160" s="251">
        <v>0</v>
      </c>
      <c r="H160" s="201">
        <f t="shared" si="12"/>
        <v>161.12530774045484</v>
      </c>
    </row>
    <row r="161" spans="1:8" s="58" customFormat="1" ht="12">
      <c r="A161" s="541"/>
      <c r="B161" s="541"/>
      <c r="C161" s="150" t="s">
        <v>55</v>
      </c>
      <c r="D161" s="111" t="s">
        <v>57</v>
      </c>
      <c r="E161" s="243">
        <v>5000</v>
      </c>
      <c r="F161" s="251">
        <v>11082.24</v>
      </c>
      <c r="G161" s="251">
        <v>0</v>
      </c>
      <c r="H161" s="201">
        <f t="shared" si="12"/>
        <v>221.64479999999998</v>
      </c>
    </row>
    <row r="162" spans="1:8" s="58" customFormat="1" ht="12">
      <c r="A162" s="541"/>
      <c r="B162" s="541"/>
      <c r="C162" s="150" t="s">
        <v>49</v>
      </c>
      <c r="D162" s="111" t="s">
        <v>59</v>
      </c>
      <c r="E162" s="243">
        <v>300</v>
      </c>
      <c r="F162" s="251">
        <v>1209.71</v>
      </c>
      <c r="G162" s="251">
        <v>0</v>
      </c>
      <c r="H162" s="201">
        <f t="shared" si="12"/>
        <v>403.23666666666662</v>
      </c>
    </row>
    <row r="163" spans="1:8" s="58" customFormat="1" ht="12">
      <c r="A163" s="541"/>
      <c r="B163" s="541"/>
      <c r="C163" s="150" t="s">
        <v>56</v>
      </c>
      <c r="D163" s="111" t="s">
        <v>58</v>
      </c>
      <c r="E163" s="243">
        <v>0</v>
      </c>
      <c r="F163" s="251">
        <v>11335</v>
      </c>
      <c r="G163" s="251">
        <v>0</v>
      </c>
      <c r="H163" s="201"/>
    </row>
    <row r="164" spans="1:8" s="58" customFormat="1" ht="33.75">
      <c r="A164" s="541"/>
      <c r="B164" s="542"/>
      <c r="C164" s="206">
        <v>2130</v>
      </c>
      <c r="D164" s="111" t="s">
        <v>25</v>
      </c>
      <c r="E164" s="243">
        <v>5083</v>
      </c>
      <c r="F164" s="251">
        <v>5083</v>
      </c>
      <c r="G164" s="251">
        <v>0</v>
      </c>
      <c r="H164" s="201">
        <f t="shared" si="12"/>
        <v>100</v>
      </c>
    </row>
    <row r="165" spans="1:8" s="58" customFormat="1" ht="12">
      <c r="A165" s="541"/>
      <c r="B165" s="205">
        <v>85226</v>
      </c>
      <c r="C165" s="206"/>
      <c r="D165" s="111" t="s">
        <v>236</v>
      </c>
      <c r="E165" s="243">
        <f>E167+E166</f>
        <v>15813</v>
      </c>
      <c r="F165" s="251">
        <f>F167+F166</f>
        <v>15812.2</v>
      </c>
      <c r="G165" s="251">
        <v>0</v>
      </c>
      <c r="H165" s="201">
        <f t="shared" si="12"/>
        <v>99.994940871434906</v>
      </c>
    </row>
    <row r="166" spans="1:8" s="58" customFormat="1" ht="12">
      <c r="A166" s="541"/>
      <c r="B166" s="540"/>
      <c r="C166" s="150" t="s">
        <v>55</v>
      </c>
      <c r="D166" s="111" t="s">
        <v>57</v>
      </c>
      <c r="E166" s="243">
        <v>600</v>
      </c>
      <c r="F166" s="251">
        <v>600</v>
      </c>
      <c r="G166" s="251">
        <v>0</v>
      </c>
      <c r="H166" s="201">
        <f t="shared" si="12"/>
        <v>100</v>
      </c>
    </row>
    <row r="167" spans="1:8" s="58" customFormat="1" ht="34.5" customHeight="1">
      <c r="A167" s="542"/>
      <c r="B167" s="542"/>
      <c r="C167" s="150">
        <v>2320</v>
      </c>
      <c r="D167" s="111" t="s">
        <v>136</v>
      </c>
      <c r="E167" s="243">
        <v>15213</v>
      </c>
      <c r="F167" s="251">
        <v>15212.2</v>
      </c>
      <c r="G167" s="251">
        <v>0</v>
      </c>
      <c r="H167" s="201">
        <f t="shared" si="12"/>
        <v>99.994741339643738</v>
      </c>
    </row>
    <row r="168" spans="1:8" s="58" customFormat="1" ht="24" customHeight="1">
      <c r="A168" s="153">
        <v>853</v>
      </c>
      <c r="B168" s="153"/>
      <c r="C168" s="151"/>
      <c r="D168" s="154" t="s">
        <v>36</v>
      </c>
      <c r="E168" s="242">
        <f>E169+E171+E176+E178</f>
        <v>2292662.13</v>
      </c>
      <c r="F168" s="250">
        <f>F169+F171+F176+F178</f>
        <v>2287473.4900000002</v>
      </c>
      <c r="G168" s="250">
        <f>G169+G171+G176+G178</f>
        <v>0</v>
      </c>
      <c r="H168" s="202">
        <f t="shared" si="12"/>
        <v>99.773684925829002</v>
      </c>
    </row>
    <row r="169" spans="1:8" s="58" customFormat="1" ht="12">
      <c r="A169" s="540"/>
      <c r="B169" s="206">
        <v>85321</v>
      </c>
      <c r="C169" s="206"/>
      <c r="D169" s="111" t="s">
        <v>94</v>
      </c>
      <c r="E169" s="243">
        <f>E170</f>
        <v>84500</v>
      </c>
      <c r="F169" s="251">
        <f>F170</f>
        <v>84457.75</v>
      </c>
      <c r="G169" s="251">
        <v>0</v>
      </c>
      <c r="H169" s="201">
        <f t="shared" si="12"/>
        <v>99.95</v>
      </c>
    </row>
    <row r="170" spans="1:8" s="58" customFormat="1" ht="32.25" customHeight="1">
      <c r="A170" s="541"/>
      <c r="B170" s="206"/>
      <c r="C170" s="206">
        <v>2110</v>
      </c>
      <c r="D170" s="111" t="s">
        <v>65</v>
      </c>
      <c r="E170" s="243">
        <v>84500</v>
      </c>
      <c r="F170" s="251">
        <v>84457.75</v>
      </c>
      <c r="G170" s="251">
        <v>0</v>
      </c>
      <c r="H170" s="201">
        <f t="shared" si="12"/>
        <v>99.95</v>
      </c>
    </row>
    <row r="171" spans="1:8" s="58" customFormat="1" ht="12">
      <c r="A171" s="541"/>
      <c r="B171" s="206">
        <v>85333</v>
      </c>
      <c r="C171" s="206"/>
      <c r="D171" s="111" t="s">
        <v>95</v>
      </c>
      <c r="E171" s="243">
        <f>SUM(E172:E175)</f>
        <v>903710</v>
      </c>
      <c r="F171" s="251">
        <f>SUM(F172:F175)</f>
        <v>903878.93</v>
      </c>
      <c r="G171" s="251">
        <f>SUM(G172:G175)</f>
        <v>0</v>
      </c>
      <c r="H171" s="201">
        <f t="shared" si="12"/>
        <v>100.01869294353278</v>
      </c>
    </row>
    <row r="172" spans="1:8" s="58" customFormat="1" ht="56.25">
      <c r="A172" s="541"/>
      <c r="B172" s="540"/>
      <c r="C172" s="150" t="s">
        <v>21</v>
      </c>
      <c r="D172" s="111" t="s">
        <v>169</v>
      </c>
      <c r="E172" s="243">
        <v>10090</v>
      </c>
      <c r="F172" s="251">
        <v>10090</v>
      </c>
      <c r="G172" s="251">
        <v>0</v>
      </c>
      <c r="H172" s="201"/>
    </row>
    <row r="173" spans="1:8" s="58" customFormat="1" ht="12">
      <c r="A173" s="541"/>
      <c r="B173" s="541"/>
      <c r="C173" s="150" t="s">
        <v>49</v>
      </c>
      <c r="D173" s="111" t="s">
        <v>59</v>
      </c>
      <c r="E173" s="243">
        <v>1657</v>
      </c>
      <c r="F173" s="251">
        <v>1780.73</v>
      </c>
      <c r="G173" s="251">
        <v>0</v>
      </c>
      <c r="H173" s="201">
        <f t="shared" si="12"/>
        <v>107.46710923355462</v>
      </c>
    </row>
    <row r="174" spans="1:8" s="58" customFormat="1" ht="12">
      <c r="A174" s="541"/>
      <c r="B174" s="541"/>
      <c r="C174" s="150" t="s">
        <v>56</v>
      </c>
      <c r="D174" s="111" t="s">
        <v>58</v>
      </c>
      <c r="E174" s="243">
        <v>13263</v>
      </c>
      <c r="F174" s="251">
        <v>13308.2</v>
      </c>
      <c r="G174" s="251">
        <v>0</v>
      </c>
      <c r="H174" s="201">
        <f t="shared" si="12"/>
        <v>100.34079770790922</v>
      </c>
    </row>
    <row r="175" spans="1:8" s="58" customFormat="1" ht="33.75">
      <c r="A175" s="541"/>
      <c r="B175" s="542"/>
      <c r="C175" s="206">
        <v>2440</v>
      </c>
      <c r="D175" s="156" t="s">
        <v>139</v>
      </c>
      <c r="E175" s="243">
        <v>878700</v>
      </c>
      <c r="F175" s="251">
        <v>878700</v>
      </c>
      <c r="G175" s="251">
        <v>0</v>
      </c>
      <c r="H175" s="201">
        <f t="shared" si="12"/>
        <v>100</v>
      </c>
    </row>
    <row r="176" spans="1:8" s="58" customFormat="1" ht="12">
      <c r="A176" s="541"/>
      <c r="B176" s="206">
        <v>85334</v>
      </c>
      <c r="C176" s="150"/>
      <c r="D176" s="111" t="s">
        <v>126</v>
      </c>
      <c r="E176" s="243">
        <f>E177</f>
        <v>46147</v>
      </c>
      <c r="F176" s="251">
        <f>F177</f>
        <v>45020.81</v>
      </c>
      <c r="G176" s="251">
        <v>0</v>
      </c>
      <c r="H176" s="201">
        <f t="shared" si="12"/>
        <v>97.559559668017414</v>
      </c>
    </row>
    <row r="177" spans="1:8" s="58" customFormat="1" ht="33" customHeight="1">
      <c r="A177" s="541"/>
      <c r="B177" s="206"/>
      <c r="C177" s="206">
        <v>2110</v>
      </c>
      <c r="D177" s="111" t="s">
        <v>65</v>
      </c>
      <c r="E177" s="243">
        <v>46147</v>
      </c>
      <c r="F177" s="251">
        <v>45020.81</v>
      </c>
      <c r="G177" s="251">
        <v>0</v>
      </c>
      <c r="H177" s="201">
        <f t="shared" si="12"/>
        <v>97.559559668017414</v>
      </c>
    </row>
    <row r="178" spans="1:8" s="58" customFormat="1" ht="12">
      <c r="A178" s="541"/>
      <c r="B178" s="206">
        <v>85395</v>
      </c>
      <c r="C178" s="206"/>
      <c r="D178" s="111" t="s">
        <v>74</v>
      </c>
      <c r="E178" s="203">
        <f>SUM(E179:E183)</f>
        <v>1258305.1300000001</v>
      </c>
      <c r="F178" s="251">
        <f>SUM(F179:F183)</f>
        <v>1254116</v>
      </c>
      <c r="G178" s="251">
        <v>0</v>
      </c>
      <c r="H178" s="201">
        <f t="shared" si="12"/>
        <v>99.667081544839604</v>
      </c>
    </row>
    <row r="179" spans="1:8" s="58" customFormat="1" ht="12">
      <c r="A179" s="541"/>
      <c r="B179" s="540"/>
      <c r="C179" s="150" t="s">
        <v>49</v>
      </c>
      <c r="D179" s="111" t="s">
        <v>59</v>
      </c>
      <c r="E179" s="243">
        <v>0</v>
      </c>
      <c r="F179" s="251">
        <v>2545.9</v>
      </c>
      <c r="G179" s="251">
        <v>0</v>
      </c>
      <c r="H179" s="201"/>
    </row>
    <row r="180" spans="1:8" s="58" customFormat="1" ht="12">
      <c r="A180" s="541"/>
      <c r="B180" s="541"/>
      <c r="C180" s="150" t="s">
        <v>56</v>
      </c>
      <c r="D180" s="111" t="s">
        <v>58</v>
      </c>
      <c r="E180" s="243">
        <v>0</v>
      </c>
      <c r="F180" s="251">
        <v>50</v>
      </c>
      <c r="G180" s="251">
        <v>0</v>
      </c>
      <c r="H180" s="201"/>
    </row>
    <row r="181" spans="1:8" s="58" customFormat="1" ht="30.75" customHeight="1">
      <c r="A181" s="541"/>
      <c r="B181" s="541"/>
      <c r="C181" s="150">
        <v>2007</v>
      </c>
      <c r="D181" s="543" t="s">
        <v>249</v>
      </c>
      <c r="E181" s="243">
        <v>1193220.79</v>
      </c>
      <c r="F181" s="251">
        <v>1186447.5900000001</v>
      </c>
      <c r="G181" s="251">
        <v>0</v>
      </c>
      <c r="H181" s="201">
        <f t="shared" si="12"/>
        <v>99.432359873649204</v>
      </c>
    </row>
    <row r="182" spans="1:8" s="58" customFormat="1" ht="36.75" customHeight="1">
      <c r="A182" s="541"/>
      <c r="B182" s="541"/>
      <c r="C182" s="150">
        <v>2009</v>
      </c>
      <c r="D182" s="544"/>
      <c r="E182" s="243">
        <v>65084.34</v>
      </c>
      <c r="F182" s="251">
        <v>64815.24</v>
      </c>
      <c r="G182" s="251">
        <v>0</v>
      </c>
      <c r="H182" s="201">
        <f t="shared" si="12"/>
        <v>99.586536484813408</v>
      </c>
    </row>
    <row r="183" spans="1:8" s="58" customFormat="1" ht="33.75">
      <c r="A183" s="541"/>
      <c r="B183" s="541"/>
      <c r="C183" s="206">
        <v>2440</v>
      </c>
      <c r="D183" s="156" t="s">
        <v>139</v>
      </c>
      <c r="E183" s="243">
        <v>0</v>
      </c>
      <c r="F183" s="251">
        <v>257.27</v>
      </c>
      <c r="G183" s="251">
        <v>0</v>
      </c>
      <c r="H183" s="201"/>
    </row>
    <row r="184" spans="1:8" s="58" customFormat="1" ht="12">
      <c r="A184" s="153">
        <v>854</v>
      </c>
      <c r="B184" s="153"/>
      <c r="C184" s="153"/>
      <c r="D184" s="154" t="s">
        <v>96</v>
      </c>
      <c r="E184" s="242">
        <f>E185+E190+E195+E198</f>
        <v>153667</v>
      </c>
      <c r="F184" s="250">
        <f>F185+F190+F195+F198</f>
        <v>142121.49</v>
      </c>
      <c r="G184" s="250">
        <v>0</v>
      </c>
      <c r="H184" s="202">
        <f t="shared" si="12"/>
        <v>92.486669226314035</v>
      </c>
    </row>
    <row r="185" spans="1:8" s="58" customFormat="1" ht="22.5">
      <c r="A185" s="540"/>
      <c r="B185" s="206">
        <v>85406</v>
      </c>
      <c r="C185" s="206"/>
      <c r="D185" s="111" t="s">
        <v>97</v>
      </c>
      <c r="E185" s="200">
        <f>SUM(E186:E189)</f>
        <v>32936</v>
      </c>
      <c r="F185" s="200">
        <f t="shared" ref="F185:G185" si="13">SUM(F186:F189)</f>
        <v>33070.1</v>
      </c>
      <c r="G185" s="200">
        <f t="shared" si="13"/>
        <v>0</v>
      </c>
      <c r="H185" s="201">
        <f t="shared" si="12"/>
        <v>100.40715326694195</v>
      </c>
    </row>
    <row r="186" spans="1:8" s="58" customFormat="1" ht="12">
      <c r="A186" s="541"/>
      <c r="B186" s="540"/>
      <c r="C186" s="150" t="s">
        <v>37</v>
      </c>
      <c r="D186" s="114" t="s">
        <v>38</v>
      </c>
      <c r="E186" s="200">
        <v>137</v>
      </c>
      <c r="F186" s="251">
        <v>137.25</v>
      </c>
      <c r="G186" s="251"/>
      <c r="H186" s="201"/>
    </row>
    <row r="187" spans="1:8" s="58" customFormat="1" ht="56.25">
      <c r="A187" s="541"/>
      <c r="B187" s="541"/>
      <c r="C187" s="150" t="s">
        <v>21</v>
      </c>
      <c r="D187" s="111" t="s">
        <v>169</v>
      </c>
      <c r="E187" s="243">
        <v>25223</v>
      </c>
      <c r="F187" s="251">
        <v>24964.76</v>
      </c>
      <c r="G187" s="251">
        <v>0</v>
      </c>
      <c r="H187" s="201">
        <f t="shared" si="12"/>
        <v>98.976172540934854</v>
      </c>
    </row>
    <row r="188" spans="1:8" s="58" customFormat="1" ht="12">
      <c r="A188" s="541"/>
      <c r="B188" s="541"/>
      <c r="C188" s="150" t="s">
        <v>49</v>
      </c>
      <c r="D188" s="111" t="s">
        <v>59</v>
      </c>
      <c r="E188" s="243">
        <v>400</v>
      </c>
      <c r="F188" s="251">
        <v>285.41000000000003</v>
      </c>
      <c r="G188" s="251">
        <v>0</v>
      </c>
      <c r="H188" s="201">
        <f t="shared" si="12"/>
        <v>71.352500000000006</v>
      </c>
    </row>
    <row r="189" spans="1:8" s="58" customFormat="1" ht="12">
      <c r="A189" s="541"/>
      <c r="B189" s="542"/>
      <c r="C189" s="150" t="s">
        <v>56</v>
      </c>
      <c r="D189" s="111" t="s">
        <v>58</v>
      </c>
      <c r="E189" s="243">
        <v>7176</v>
      </c>
      <c r="F189" s="251">
        <v>7682.68</v>
      </c>
      <c r="G189" s="251">
        <v>0</v>
      </c>
      <c r="H189" s="201">
        <f t="shared" si="12"/>
        <v>107.06075808249722</v>
      </c>
    </row>
    <row r="190" spans="1:8" s="58" customFormat="1" ht="12">
      <c r="A190" s="541"/>
      <c r="B190" s="206">
        <v>85407</v>
      </c>
      <c r="C190" s="206"/>
      <c r="D190" s="111" t="s">
        <v>45</v>
      </c>
      <c r="E190" s="243">
        <f>SUM(E191:E194)</f>
        <v>14855</v>
      </c>
      <c r="F190" s="251">
        <f>SUM(F191:F194)</f>
        <v>14988.68</v>
      </c>
      <c r="G190" s="251">
        <v>0</v>
      </c>
      <c r="H190" s="201">
        <f t="shared" si="12"/>
        <v>100.89989902389769</v>
      </c>
    </row>
    <row r="191" spans="1:8" s="58" customFormat="1" ht="56.25">
      <c r="A191" s="541"/>
      <c r="B191" s="547"/>
      <c r="C191" s="150" t="s">
        <v>21</v>
      </c>
      <c r="D191" s="111" t="s">
        <v>169</v>
      </c>
      <c r="E191" s="243">
        <v>10790</v>
      </c>
      <c r="F191" s="251">
        <v>10930</v>
      </c>
      <c r="G191" s="251">
        <v>0</v>
      </c>
      <c r="H191" s="201">
        <f t="shared" si="12"/>
        <v>101.29749768303986</v>
      </c>
    </row>
    <row r="192" spans="1:8" s="58" customFormat="1" ht="12">
      <c r="A192" s="541"/>
      <c r="B192" s="547"/>
      <c r="C192" s="150" t="s">
        <v>55</v>
      </c>
      <c r="D192" s="111" t="s">
        <v>57</v>
      </c>
      <c r="E192" s="243">
        <v>3745</v>
      </c>
      <c r="F192" s="251">
        <v>3745</v>
      </c>
      <c r="G192" s="251">
        <v>0</v>
      </c>
      <c r="H192" s="201">
        <f t="shared" si="12"/>
        <v>100</v>
      </c>
    </row>
    <row r="193" spans="1:8" s="58" customFormat="1" ht="12">
      <c r="A193" s="541"/>
      <c r="B193" s="547"/>
      <c r="C193" s="150" t="s">
        <v>49</v>
      </c>
      <c r="D193" s="111" t="s">
        <v>59</v>
      </c>
      <c r="E193" s="243">
        <v>250</v>
      </c>
      <c r="F193" s="251">
        <v>235.68</v>
      </c>
      <c r="G193" s="251">
        <v>0</v>
      </c>
      <c r="H193" s="201">
        <f t="shared" si="12"/>
        <v>94.272000000000006</v>
      </c>
    </row>
    <row r="194" spans="1:8" s="58" customFormat="1" ht="12">
      <c r="A194" s="541"/>
      <c r="B194" s="547"/>
      <c r="C194" s="150" t="s">
        <v>56</v>
      </c>
      <c r="D194" s="111" t="s">
        <v>58</v>
      </c>
      <c r="E194" s="243">
        <v>70</v>
      </c>
      <c r="F194" s="251">
        <v>78</v>
      </c>
      <c r="G194" s="251">
        <v>0</v>
      </c>
      <c r="H194" s="201">
        <f t="shared" si="12"/>
        <v>111.42857142857143</v>
      </c>
    </row>
    <row r="195" spans="1:8" s="58" customFormat="1" ht="12">
      <c r="A195" s="541"/>
      <c r="B195" s="206">
        <v>85410</v>
      </c>
      <c r="C195" s="206"/>
      <c r="D195" s="111" t="s">
        <v>46</v>
      </c>
      <c r="E195" s="243">
        <f>E196+E197</f>
        <v>72076</v>
      </c>
      <c r="F195" s="243">
        <f t="shared" ref="F195:G195" si="14">F196+F197</f>
        <v>68496.989999999991</v>
      </c>
      <c r="G195" s="243">
        <f t="shared" si="14"/>
        <v>0</v>
      </c>
      <c r="H195" s="201">
        <f t="shared" si="12"/>
        <v>95.03439425051333</v>
      </c>
    </row>
    <row r="196" spans="1:8" s="58" customFormat="1" ht="56.25">
      <c r="A196" s="541"/>
      <c r="B196" s="540"/>
      <c r="C196" s="150" t="s">
        <v>21</v>
      </c>
      <c r="D196" s="111" t="s">
        <v>169</v>
      </c>
      <c r="E196" s="243">
        <v>42145</v>
      </c>
      <c r="F196" s="251">
        <v>38566.49</v>
      </c>
      <c r="G196" s="251">
        <v>0</v>
      </c>
      <c r="H196" s="201">
        <f t="shared" si="12"/>
        <v>91.509052082097526</v>
      </c>
    </row>
    <row r="197" spans="1:8" s="58" customFormat="1" ht="12">
      <c r="A197" s="541"/>
      <c r="B197" s="541"/>
      <c r="C197" s="150" t="s">
        <v>55</v>
      </c>
      <c r="D197" s="111" t="s">
        <v>57</v>
      </c>
      <c r="E197" s="243">
        <v>29931</v>
      </c>
      <c r="F197" s="251">
        <v>29930.5</v>
      </c>
      <c r="G197" s="251">
        <v>0</v>
      </c>
      <c r="H197" s="201">
        <f t="shared" si="12"/>
        <v>99.998329491163005</v>
      </c>
    </row>
    <row r="198" spans="1:8" s="58" customFormat="1" ht="12">
      <c r="A198" s="541"/>
      <c r="B198" s="206">
        <v>85420</v>
      </c>
      <c r="C198" s="150"/>
      <c r="D198" s="111" t="s">
        <v>131</v>
      </c>
      <c r="E198" s="243">
        <f>E199+E200+E201</f>
        <v>33800</v>
      </c>
      <c r="F198" s="251">
        <f>F199+F200+F201</f>
        <v>25565.72</v>
      </c>
      <c r="G198" s="251">
        <v>0</v>
      </c>
      <c r="H198" s="201">
        <f t="shared" si="12"/>
        <v>75.638224852071005</v>
      </c>
    </row>
    <row r="199" spans="1:8" s="58" customFormat="1" ht="12">
      <c r="A199" s="541"/>
      <c r="B199" s="540"/>
      <c r="C199" s="150" t="s">
        <v>55</v>
      </c>
      <c r="D199" s="111" t="s">
        <v>57</v>
      </c>
      <c r="E199" s="243">
        <v>24000</v>
      </c>
      <c r="F199" s="251">
        <v>13771.35</v>
      </c>
      <c r="G199" s="251">
        <v>0</v>
      </c>
      <c r="H199" s="201">
        <f t="shared" si="12"/>
        <v>57.380624999999995</v>
      </c>
    </row>
    <row r="200" spans="1:8" s="58" customFormat="1" ht="12">
      <c r="A200" s="541"/>
      <c r="B200" s="541"/>
      <c r="C200" s="150" t="s">
        <v>49</v>
      </c>
      <c r="D200" s="111" t="s">
        <v>59</v>
      </c>
      <c r="E200" s="243">
        <v>800</v>
      </c>
      <c r="F200" s="251">
        <v>452.26</v>
      </c>
      <c r="G200" s="251">
        <v>0</v>
      </c>
      <c r="H200" s="201">
        <f t="shared" si="12"/>
        <v>56.532499999999999</v>
      </c>
    </row>
    <row r="201" spans="1:8" s="58" customFormat="1" ht="12">
      <c r="A201" s="542"/>
      <c r="B201" s="542"/>
      <c r="C201" s="150" t="s">
        <v>56</v>
      </c>
      <c r="D201" s="111" t="s">
        <v>58</v>
      </c>
      <c r="E201" s="243">
        <v>9000</v>
      </c>
      <c r="F201" s="251">
        <v>11342.11</v>
      </c>
      <c r="G201" s="251">
        <v>0</v>
      </c>
      <c r="H201" s="201">
        <f t="shared" si="12"/>
        <v>126.02344444444444</v>
      </c>
    </row>
    <row r="202" spans="1:8" s="58" customFormat="1" ht="21">
      <c r="A202" s="371">
        <v>900</v>
      </c>
      <c r="B202" s="371"/>
      <c r="C202" s="377"/>
      <c r="D202" s="378" t="s">
        <v>140</v>
      </c>
      <c r="E202" s="373">
        <f>E203</f>
        <v>266916</v>
      </c>
      <c r="F202" s="374">
        <f>F203</f>
        <v>260328.24</v>
      </c>
      <c r="G202" s="374">
        <v>0</v>
      </c>
      <c r="H202" s="375">
        <f t="shared" si="12"/>
        <v>97.531897675673235</v>
      </c>
    </row>
    <row r="203" spans="1:8" s="58" customFormat="1" ht="33.75">
      <c r="A203" s="540"/>
      <c r="B203" s="231">
        <v>90019</v>
      </c>
      <c r="C203" s="150"/>
      <c r="D203" s="111" t="s">
        <v>256</v>
      </c>
      <c r="E203" s="243">
        <f>E204+E205+E206</f>
        <v>266916</v>
      </c>
      <c r="F203" s="251">
        <f>F204+F205+F206</f>
        <v>260328.24</v>
      </c>
      <c r="G203" s="251">
        <v>0</v>
      </c>
      <c r="H203" s="201">
        <f t="shared" si="12"/>
        <v>97.531897675673235</v>
      </c>
    </row>
    <row r="204" spans="1:8" s="58" customFormat="1" ht="12">
      <c r="A204" s="541"/>
      <c r="B204" s="540"/>
      <c r="C204" s="150" t="s">
        <v>37</v>
      </c>
      <c r="D204" s="114" t="s">
        <v>38</v>
      </c>
      <c r="E204" s="243">
        <v>130000</v>
      </c>
      <c r="F204" s="251">
        <v>123135.95</v>
      </c>
      <c r="G204" s="251">
        <v>0</v>
      </c>
      <c r="H204" s="201">
        <f t="shared" si="12"/>
        <v>94.719961538461533</v>
      </c>
    </row>
    <row r="205" spans="1:8" s="58" customFormat="1" ht="12">
      <c r="A205" s="541"/>
      <c r="B205" s="541"/>
      <c r="C205" s="150" t="s">
        <v>49</v>
      </c>
      <c r="D205" s="111" t="s">
        <v>59</v>
      </c>
      <c r="E205" s="243">
        <v>16</v>
      </c>
      <c r="F205" s="251">
        <v>16.07</v>
      </c>
      <c r="G205" s="251">
        <v>0</v>
      </c>
      <c r="H205" s="201">
        <f t="shared" si="12"/>
        <v>100.4375</v>
      </c>
    </row>
    <row r="206" spans="1:8" s="58" customFormat="1" ht="12">
      <c r="A206" s="542"/>
      <c r="B206" s="542"/>
      <c r="C206" s="150" t="s">
        <v>56</v>
      </c>
      <c r="D206" s="111" t="s">
        <v>58</v>
      </c>
      <c r="E206" s="243">
        <v>136900</v>
      </c>
      <c r="F206" s="251">
        <v>137176.22</v>
      </c>
      <c r="G206" s="251">
        <v>0</v>
      </c>
      <c r="H206" s="201">
        <f t="shared" si="12"/>
        <v>100.20176771365961</v>
      </c>
    </row>
    <row r="207" spans="1:8" s="58" customFormat="1" ht="12">
      <c r="A207" s="371">
        <v>926</v>
      </c>
      <c r="B207" s="371"/>
      <c r="C207" s="377"/>
      <c r="D207" s="378" t="s">
        <v>476</v>
      </c>
      <c r="E207" s="373">
        <f>E208</f>
        <v>654000</v>
      </c>
      <c r="F207" s="373">
        <f t="shared" ref="F207:G207" si="15">F208</f>
        <v>0</v>
      </c>
      <c r="G207" s="373">
        <f t="shared" si="15"/>
        <v>654000</v>
      </c>
      <c r="H207" s="375">
        <f t="shared" si="12"/>
        <v>100</v>
      </c>
    </row>
    <row r="208" spans="1:8" s="58" customFormat="1" ht="12">
      <c r="A208" s="540"/>
      <c r="B208" s="231">
        <v>92601</v>
      </c>
      <c r="C208" s="150"/>
      <c r="D208" s="111" t="s">
        <v>155</v>
      </c>
      <c r="E208" s="243">
        <f>E209+E210</f>
        <v>654000</v>
      </c>
      <c r="F208" s="243">
        <f t="shared" ref="F208:G208" si="16">F209+F210</f>
        <v>0</v>
      </c>
      <c r="G208" s="243">
        <f t="shared" si="16"/>
        <v>654000</v>
      </c>
      <c r="H208" s="201">
        <f t="shared" si="12"/>
        <v>100</v>
      </c>
    </row>
    <row r="209" spans="1:8" s="58" customFormat="1" ht="56.25">
      <c r="A209" s="541"/>
      <c r="B209" s="540"/>
      <c r="C209" s="150">
        <v>6300</v>
      </c>
      <c r="D209" s="111" t="s">
        <v>252</v>
      </c>
      <c r="E209" s="243">
        <v>333000</v>
      </c>
      <c r="F209" s="251">
        <v>0</v>
      </c>
      <c r="G209" s="251">
        <v>333000</v>
      </c>
      <c r="H209" s="201">
        <f t="shared" si="12"/>
        <v>100</v>
      </c>
    </row>
    <row r="210" spans="1:8" s="58" customFormat="1" ht="33.75">
      <c r="A210" s="542"/>
      <c r="B210" s="542"/>
      <c r="C210" s="150">
        <v>6430</v>
      </c>
      <c r="D210" s="111" t="s">
        <v>255</v>
      </c>
      <c r="E210" s="243">
        <v>321000</v>
      </c>
      <c r="F210" s="251">
        <v>0</v>
      </c>
      <c r="G210" s="251">
        <v>321000</v>
      </c>
      <c r="H210" s="201">
        <f t="shared" si="12"/>
        <v>100</v>
      </c>
    </row>
    <row r="211" spans="1:8" s="58" customFormat="1" ht="12">
      <c r="A211" s="559" t="s">
        <v>26</v>
      </c>
      <c r="B211" s="560"/>
      <c r="C211" s="560"/>
      <c r="D211" s="561"/>
      <c r="E211" s="248">
        <f>E11+E16+E22+E30+E40+E50+E70+E84+E94+E103+E130+E133+E168+E184+E202+E207+E67</f>
        <v>52216673.860000007</v>
      </c>
      <c r="F211" s="248">
        <f>F11+F16+F22+F30+F40+F50+F70+F84+F94+F103+F130+F133+F168+F184+F202+F207+F67</f>
        <v>48754531.450000003</v>
      </c>
      <c r="G211" s="248">
        <f>G11+G16+G22+G30+G40+G50+G70+G84+G94+G103+G130+G133+G168+G184+G202+G207+G67</f>
        <v>3622722.84</v>
      </c>
      <c r="H211" s="375">
        <f t="shared" si="12"/>
        <v>100.30752711371571</v>
      </c>
    </row>
    <row r="212" spans="1:8" s="58" customFormat="1">
      <c r="A212"/>
      <c r="B212"/>
      <c r="C212"/>
      <c r="D212"/>
      <c r="E212" s="238"/>
      <c r="F212" s="37"/>
      <c r="G212" s="37"/>
      <c r="H212"/>
    </row>
    <row r="213" spans="1:8">
      <c r="F213" s="256"/>
    </row>
    <row r="215" spans="1:8">
      <c r="E215" s="239"/>
    </row>
  </sheetData>
  <mergeCells count="58">
    <mergeCell ref="A211:D211"/>
    <mergeCell ref="B46:B49"/>
    <mergeCell ref="H7:H9"/>
    <mergeCell ref="A7:A9"/>
    <mergeCell ref="B7:B9"/>
    <mergeCell ref="C7:C9"/>
    <mergeCell ref="D7:D9"/>
    <mergeCell ref="E7:E9"/>
    <mergeCell ref="A17:A21"/>
    <mergeCell ref="F7:G7"/>
    <mergeCell ref="G8:G9"/>
    <mergeCell ref="F8:F9"/>
    <mergeCell ref="A31:A39"/>
    <mergeCell ref="B32:B39"/>
    <mergeCell ref="A12:A15"/>
    <mergeCell ref="B18:B19"/>
    <mergeCell ref="D1:H1"/>
    <mergeCell ref="A2:H2"/>
    <mergeCell ref="A3:H3"/>
    <mergeCell ref="A4:H4"/>
    <mergeCell ref="A5:H5"/>
    <mergeCell ref="A23:A29"/>
    <mergeCell ref="B24:B27"/>
    <mergeCell ref="A41:A49"/>
    <mergeCell ref="A95:A102"/>
    <mergeCell ref="B105:B107"/>
    <mergeCell ref="A51:A66"/>
    <mergeCell ref="B54:B60"/>
    <mergeCell ref="B123:B125"/>
    <mergeCell ref="B111:B115"/>
    <mergeCell ref="B117:B121"/>
    <mergeCell ref="B80:B81"/>
    <mergeCell ref="A71:A83"/>
    <mergeCell ref="A104:A129"/>
    <mergeCell ref="B72:B78"/>
    <mergeCell ref="A85:A93"/>
    <mergeCell ref="B86:B90"/>
    <mergeCell ref="B92:B93"/>
    <mergeCell ref="A131:A132"/>
    <mergeCell ref="B135:B144"/>
    <mergeCell ref="B153:B156"/>
    <mergeCell ref="B166:B167"/>
    <mergeCell ref="B196:B197"/>
    <mergeCell ref="A185:A201"/>
    <mergeCell ref="B191:B194"/>
    <mergeCell ref="B148:B151"/>
    <mergeCell ref="A169:A183"/>
    <mergeCell ref="B179:B183"/>
    <mergeCell ref="A134:A167"/>
    <mergeCell ref="B199:B201"/>
    <mergeCell ref="B172:B175"/>
    <mergeCell ref="B160:B164"/>
    <mergeCell ref="B186:B189"/>
    <mergeCell ref="A203:A206"/>
    <mergeCell ref="B204:B206"/>
    <mergeCell ref="A208:A210"/>
    <mergeCell ref="B209:B210"/>
    <mergeCell ref="D181:D182"/>
  </mergeCells>
  <pageMargins left="0.7" right="0.7" top="0.75" bottom="0.75" header="0.3" footer="0.3"/>
  <pageSetup paperSize="9" orientation="portrait" r:id="rId1"/>
  <headerFooter>
    <oddFooter>&amp;C&amp;"Times New (W1),Normalny"Tabela Nr 1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2:Q58"/>
  <sheetViews>
    <sheetView view="pageLayout" topLeftCell="A38" workbookViewId="0">
      <selection activeCell="J65" sqref="J65"/>
    </sheetView>
  </sheetViews>
  <sheetFormatPr defaultRowHeight="12.75"/>
  <cols>
    <col min="1" max="1" width="15.140625" customWidth="1"/>
    <col min="2" max="2" width="19.42578125" customWidth="1"/>
    <col min="3" max="3" width="18.140625" customWidth="1"/>
    <col min="4" max="5" width="2.140625" customWidth="1"/>
    <col min="6" max="9" width="5.7109375" customWidth="1"/>
    <col min="10" max="10" width="60.42578125" customWidth="1"/>
    <col min="11" max="11" width="2.28515625" customWidth="1"/>
    <col min="16" max="16" width="5.140625" customWidth="1"/>
    <col min="17" max="17" width="9.140625" hidden="1" customWidth="1"/>
  </cols>
  <sheetData>
    <row r="2" spans="1:3">
      <c r="B2" t="s">
        <v>137</v>
      </c>
      <c r="C2" t="s">
        <v>128</v>
      </c>
    </row>
    <row r="3" spans="1:3">
      <c r="A3" s="36" t="s">
        <v>13</v>
      </c>
      <c r="B3" s="34">
        <v>120000</v>
      </c>
      <c r="C3" s="38">
        <v>120078.52</v>
      </c>
    </row>
    <row r="4" spans="1:3">
      <c r="A4" s="36" t="s">
        <v>14</v>
      </c>
      <c r="B4" s="29">
        <v>271840.53000000003</v>
      </c>
      <c r="C4" s="39">
        <v>261635.43</v>
      </c>
    </row>
    <row r="5" spans="1:3">
      <c r="A5" s="36">
        <v>600</v>
      </c>
      <c r="B5" s="29">
        <v>758818.69</v>
      </c>
      <c r="C5" s="39">
        <v>761339.45</v>
      </c>
    </row>
    <row r="6" spans="1:3">
      <c r="A6" s="36" t="s">
        <v>141</v>
      </c>
      <c r="B6" s="29">
        <v>183600</v>
      </c>
      <c r="C6" s="39">
        <v>227359.23</v>
      </c>
    </row>
    <row r="7" spans="1:3">
      <c r="A7" s="36" t="s">
        <v>142</v>
      </c>
      <c r="B7" s="29">
        <v>369173</v>
      </c>
      <c r="C7" s="39">
        <v>369531.94</v>
      </c>
    </row>
    <row r="8" spans="1:3">
      <c r="A8" s="36" t="s">
        <v>143</v>
      </c>
      <c r="B8" s="29">
        <v>1561070.15</v>
      </c>
      <c r="C8" s="39">
        <v>1647385.31</v>
      </c>
    </row>
    <row r="9" spans="1:3">
      <c r="A9" s="36" t="s">
        <v>359</v>
      </c>
      <c r="B9" s="29">
        <v>16251</v>
      </c>
      <c r="C9" s="39">
        <v>16251</v>
      </c>
    </row>
    <row r="10" spans="1:3">
      <c r="A10" s="2">
        <v>754</v>
      </c>
      <c r="B10" s="29">
        <v>3691586</v>
      </c>
      <c r="C10" s="39">
        <v>3711134.86</v>
      </c>
    </row>
    <row r="11" spans="1:3">
      <c r="A11" s="2">
        <v>756</v>
      </c>
      <c r="B11" s="29">
        <v>5899797</v>
      </c>
      <c r="C11" s="39">
        <v>5967139.0899999999</v>
      </c>
    </row>
    <row r="12" spans="1:3">
      <c r="A12" s="2">
        <v>758</v>
      </c>
      <c r="B12" s="29">
        <v>28161325</v>
      </c>
      <c r="C12" s="39">
        <v>28165462.239999998</v>
      </c>
    </row>
    <row r="13" spans="1:3">
      <c r="A13" s="2">
        <v>801</v>
      </c>
      <c r="B13" s="29">
        <v>837830.39</v>
      </c>
      <c r="C13" s="39">
        <v>866767.17</v>
      </c>
    </row>
    <row r="14" spans="1:3">
      <c r="A14" s="2">
        <v>851</v>
      </c>
      <c r="B14" s="29">
        <v>2302000</v>
      </c>
      <c r="C14" s="39">
        <v>2174883.0099999998</v>
      </c>
    </row>
    <row r="15" spans="1:3">
      <c r="A15" s="2">
        <v>852</v>
      </c>
      <c r="B15" s="29">
        <v>4678136.97</v>
      </c>
      <c r="C15" s="39">
        <v>4744363.82</v>
      </c>
    </row>
    <row r="16" spans="1:3">
      <c r="A16" s="275">
        <v>853</v>
      </c>
      <c r="B16" s="29">
        <v>2292662.13</v>
      </c>
      <c r="C16" s="39">
        <v>2287473.4900000002</v>
      </c>
    </row>
    <row r="17" spans="1:3">
      <c r="A17" s="275">
        <v>854</v>
      </c>
      <c r="B17" s="29">
        <v>153667</v>
      </c>
      <c r="C17" s="39">
        <v>142121.49</v>
      </c>
    </row>
    <row r="18" spans="1:3">
      <c r="A18" s="2">
        <v>900</v>
      </c>
      <c r="B18" s="29">
        <v>266916</v>
      </c>
      <c r="C18" s="39">
        <v>260328.24</v>
      </c>
    </row>
    <row r="19" spans="1:3">
      <c r="A19" s="131">
        <v>926</v>
      </c>
      <c r="B19" s="29">
        <v>654000</v>
      </c>
      <c r="C19" s="39">
        <v>654000</v>
      </c>
    </row>
    <row r="20" spans="1:3">
      <c r="A20" s="2"/>
      <c r="C20" s="29"/>
    </row>
    <row r="43" spans="1:10">
      <c r="A43" s="2"/>
      <c r="B43" s="2"/>
      <c r="C43" s="2"/>
      <c r="D43" s="2"/>
      <c r="E43" s="2"/>
      <c r="F43" s="2"/>
    </row>
    <row r="44" spans="1:10" ht="26.25" customHeight="1">
      <c r="A44" s="275">
        <v>7</v>
      </c>
      <c r="B44" s="275"/>
      <c r="C44" s="275"/>
      <c r="D44" s="275"/>
      <c r="E44" s="275"/>
      <c r="F44" s="275"/>
      <c r="G44" s="2"/>
      <c r="H44" s="2"/>
      <c r="I44" s="2"/>
      <c r="J44" s="2"/>
    </row>
    <row r="45" spans="1:10" ht="12.75" hidden="1" customHeight="1">
      <c r="A45" s="275"/>
      <c r="B45" s="275"/>
      <c r="C45" s="275"/>
      <c r="D45" s="275"/>
      <c r="E45" s="275"/>
      <c r="F45" s="275"/>
      <c r="G45" s="275"/>
      <c r="H45" s="275"/>
      <c r="I45" s="275"/>
      <c r="J45" s="275"/>
    </row>
    <row r="46" spans="1:10" ht="9.75" hidden="1" customHeight="1">
      <c r="A46" s="275"/>
      <c r="B46" s="275"/>
      <c r="C46" s="275"/>
      <c r="D46" s="275"/>
      <c r="E46" s="275"/>
      <c r="F46" s="275"/>
      <c r="G46" s="275"/>
      <c r="H46" s="275"/>
      <c r="I46" s="275"/>
      <c r="J46" s="275"/>
    </row>
    <row r="47" spans="1:10" ht="12.75" hidden="1" customHeight="1">
      <c r="A47" s="275"/>
      <c r="B47" s="275"/>
      <c r="C47" s="275"/>
      <c r="D47" s="275"/>
      <c r="E47" s="275"/>
      <c r="F47" s="275"/>
      <c r="G47" s="275"/>
      <c r="H47" s="275"/>
      <c r="I47" s="275"/>
      <c r="J47" s="275"/>
    </row>
    <row r="48" spans="1:10" ht="12.75" hidden="1" customHeight="1">
      <c r="G48" s="275"/>
      <c r="H48" s="275"/>
      <c r="I48" s="275"/>
      <c r="J48" s="275"/>
    </row>
    <row r="57" spans="1:10">
      <c r="A57" s="275"/>
      <c r="B57" s="275"/>
      <c r="C57" s="275"/>
      <c r="D57" s="275"/>
      <c r="E57" s="275"/>
      <c r="F57" s="275"/>
    </row>
    <row r="58" spans="1:10" ht="35.25" customHeight="1">
      <c r="G58" s="275"/>
      <c r="H58" s="275"/>
      <c r="I58" s="275"/>
      <c r="J58" s="275"/>
    </row>
  </sheetData>
  <phoneticPr fontId="0" type="noConversion"/>
  <pageMargins left="0.82677165354330717" right="0.62992125984251968" top="0.98425196850393704" bottom="0.98425196850393704" header="0.51181102362204722" footer="0.51181102362204722"/>
  <pageSetup paperSize="9" scale="63" orientation="portrait" r:id="rId1"/>
  <headerFooter alignWithMargins="0">
    <oddFooter>&amp;RWykres dochodów Powiatu Białogardzkiego w 2010r.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T68"/>
  <sheetViews>
    <sheetView view="pageLayout" topLeftCell="A16" workbookViewId="0">
      <selection activeCell="F67" sqref="F67:G67"/>
    </sheetView>
  </sheetViews>
  <sheetFormatPr defaultRowHeight="12.75"/>
  <cols>
    <col min="1" max="1" width="4.42578125" style="44" customWidth="1"/>
    <col min="2" max="2" width="5.42578125" style="44" customWidth="1"/>
    <col min="3" max="3" width="4.42578125" style="44" customWidth="1"/>
    <col min="4" max="4" width="39.140625" style="44" customWidth="1"/>
    <col min="5" max="5" width="10.28515625" style="44" customWidth="1"/>
    <col min="6" max="6" width="10.42578125" style="44" customWidth="1"/>
    <col min="7" max="7" width="10.42578125" style="272" customWidth="1"/>
    <col min="8" max="8" width="6.85546875" style="44" customWidth="1"/>
    <col min="9" max="16384" width="9.140625" style="44"/>
  </cols>
  <sheetData>
    <row r="1" spans="1:8">
      <c r="D1" s="557" t="s">
        <v>302</v>
      </c>
      <c r="E1" s="557"/>
      <c r="F1" s="557"/>
      <c r="G1" s="557"/>
      <c r="H1" s="557"/>
    </row>
    <row r="3" spans="1:8">
      <c r="A3" s="584" t="s">
        <v>2</v>
      </c>
      <c r="B3" s="584"/>
      <c r="C3" s="584"/>
      <c r="D3" s="584"/>
      <c r="E3" s="584"/>
      <c r="F3" s="584"/>
      <c r="G3" s="584"/>
      <c r="H3" s="584"/>
    </row>
    <row r="4" spans="1:8">
      <c r="A4" s="584" t="s">
        <v>3</v>
      </c>
      <c r="B4" s="584"/>
      <c r="C4" s="584"/>
      <c r="D4" s="584"/>
      <c r="E4" s="584"/>
      <c r="F4" s="584"/>
      <c r="G4" s="584"/>
      <c r="H4" s="584"/>
    </row>
    <row r="5" spans="1:8">
      <c r="A5" s="585" t="s">
        <v>5</v>
      </c>
      <c r="B5" s="585"/>
      <c r="C5" s="585"/>
      <c r="D5" s="585"/>
      <c r="E5" s="585"/>
      <c r="F5" s="585"/>
      <c r="G5" s="585"/>
      <c r="H5" s="585"/>
    </row>
    <row r="6" spans="1:8">
      <c r="A6" s="584" t="s">
        <v>353</v>
      </c>
      <c r="B6" s="584"/>
      <c r="C6" s="584"/>
      <c r="D6" s="584"/>
      <c r="E6" s="584"/>
      <c r="F6" s="584"/>
      <c r="G6" s="584"/>
      <c r="H6" s="584"/>
    </row>
    <row r="7" spans="1:8" ht="14.25" customHeight="1"/>
    <row r="8" spans="1:8">
      <c r="G8" s="190" t="s">
        <v>146</v>
      </c>
    </row>
    <row r="9" spans="1:8" s="79" customFormat="1" ht="11.25" customHeight="1">
      <c r="A9" s="581" t="s">
        <v>0</v>
      </c>
      <c r="B9" s="581" t="s">
        <v>62</v>
      </c>
      <c r="C9" s="581" t="s">
        <v>63</v>
      </c>
      <c r="D9" s="581" t="s">
        <v>1</v>
      </c>
      <c r="E9" s="578" t="s">
        <v>161</v>
      </c>
      <c r="F9" s="589" t="s">
        <v>128</v>
      </c>
      <c r="G9" s="589"/>
      <c r="H9" s="578" t="s">
        <v>129</v>
      </c>
    </row>
    <row r="10" spans="1:8" s="65" customFormat="1" ht="12.75" customHeight="1">
      <c r="A10" s="582"/>
      <c r="B10" s="582"/>
      <c r="C10" s="582"/>
      <c r="D10" s="582"/>
      <c r="E10" s="579"/>
      <c r="F10" s="579" t="s">
        <v>264</v>
      </c>
      <c r="G10" s="579" t="s">
        <v>265</v>
      </c>
      <c r="H10" s="579"/>
    </row>
    <row r="11" spans="1:8" s="79" customFormat="1" ht="11.25" customHeight="1">
      <c r="A11" s="583"/>
      <c r="B11" s="583"/>
      <c r="C11" s="583"/>
      <c r="D11" s="583"/>
      <c r="E11" s="580"/>
      <c r="F11" s="580"/>
      <c r="G11" s="580"/>
      <c r="H11" s="580"/>
    </row>
    <row r="12" spans="1:8" s="65" customFormat="1" ht="9" customHeight="1">
      <c r="A12" s="45">
        <v>1</v>
      </c>
      <c r="B12" s="45">
        <v>2</v>
      </c>
      <c r="C12" s="45">
        <v>3</v>
      </c>
      <c r="D12" s="45">
        <v>4</v>
      </c>
      <c r="E12" s="45">
        <v>5</v>
      </c>
      <c r="F12" s="45">
        <v>6</v>
      </c>
      <c r="G12" s="274">
        <v>7</v>
      </c>
      <c r="H12" s="274">
        <v>8</v>
      </c>
    </row>
    <row r="13" spans="1:8" s="80" customFormat="1" ht="12">
      <c r="A13" s="72" t="s">
        <v>13</v>
      </c>
      <c r="B13" s="72"/>
      <c r="C13" s="66"/>
      <c r="D13" s="73" t="s">
        <v>27</v>
      </c>
      <c r="E13" s="284">
        <f>E15+E16</f>
        <v>120000</v>
      </c>
      <c r="F13" s="284">
        <f>F15+F16</f>
        <v>120078.52</v>
      </c>
      <c r="G13" s="284"/>
      <c r="H13" s="286">
        <f>F13/E13*100</f>
        <v>100.06543333333333</v>
      </c>
    </row>
    <row r="14" spans="1:8" s="67" customFormat="1" ht="12">
      <c r="A14" s="586" t="s">
        <v>12</v>
      </c>
      <c r="B14" s="69" t="s">
        <v>48</v>
      </c>
      <c r="C14" s="68"/>
      <c r="D14" s="288" t="s">
        <v>64</v>
      </c>
      <c r="E14" s="285">
        <f>E15</f>
        <v>120000</v>
      </c>
      <c r="F14" s="285">
        <f>F15</f>
        <v>119998.16</v>
      </c>
      <c r="G14" s="285"/>
      <c r="H14" s="287">
        <f>F14/E14*100</f>
        <v>99.998466666666673</v>
      </c>
    </row>
    <row r="15" spans="1:8" s="67" customFormat="1" ht="33.75">
      <c r="A15" s="587"/>
      <c r="B15" s="63"/>
      <c r="C15" s="63">
        <v>2110</v>
      </c>
      <c r="D15" s="116" t="s">
        <v>65</v>
      </c>
      <c r="E15" s="285">
        <v>120000</v>
      </c>
      <c r="F15" s="285">
        <v>119998.16</v>
      </c>
      <c r="G15" s="285"/>
      <c r="H15" s="287">
        <f>F15/E15*100</f>
        <v>99.998466666666673</v>
      </c>
    </row>
    <row r="16" spans="1:8" s="67" customFormat="1" ht="12">
      <c r="A16" s="587"/>
      <c r="B16" s="61" t="s">
        <v>121</v>
      </c>
      <c r="C16" s="63"/>
      <c r="D16" s="116" t="s">
        <v>122</v>
      </c>
      <c r="E16" s="285">
        <f>E17</f>
        <v>0</v>
      </c>
      <c r="F16" s="285">
        <f>F17</f>
        <v>80.36</v>
      </c>
      <c r="G16" s="285"/>
      <c r="H16" s="287"/>
    </row>
    <row r="17" spans="1:20" s="67" customFormat="1" ht="36.75" customHeight="1">
      <c r="A17" s="588"/>
      <c r="B17" s="63"/>
      <c r="C17" s="78">
        <v>2360</v>
      </c>
      <c r="D17" s="116" t="s">
        <v>132</v>
      </c>
      <c r="E17" s="285">
        <v>0</v>
      </c>
      <c r="F17" s="285">
        <v>80.36</v>
      </c>
      <c r="G17" s="285"/>
      <c r="H17" s="287"/>
    </row>
    <row r="18" spans="1:20" s="67" customFormat="1" ht="12">
      <c r="A18" s="75">
        <v>700</v>
      </c>
      <c r="B18" s="75"/>
      <c r="C18" s="75"/>
      <c r="D18" s="76" t="s">
        <v>29</v>
      </c>
      <c r="E18" s="284">
        <f>E19</f>
        <v>85000</v>
      </c>
      <c r="F18" s="284">
        <f>F19</f>
        <v>99771.87</v>
      </c>
      <c r="G18" s="284"/>
      <c r="H18" s="286">
        <f t="shared" ref="H18:H27" si="0">F18/E18*100</f>
        <v>117.37867058823528</v>
      </c>
    </row>
    <row r="19" spans="1:20" s="67" customFormat="1" ht="12" customHeight="1">
      <c r="A19" s="586" t="s">
        <v>12</v>
      </c>
      <c r="B19" s="63">
        <v>70005</v>
      </c>
      <c r="C19" s="63"/>
      <c r="D19" s="116" t="s">
        <v>70</v>
      </c>
      <c r="E19" s="285">
        <f>SUM(E20:E21)</f>
        <v>85000</v>
      </c>
      <c r="F19" s="285">
        <f>SUM(F20:F21)</f>
        <v>99771.87</v>
      </c>
      <c r="G19" s="285"/>
      <c r="H19" s="287">
        <f t="shared" si="0"/>
        <v>117.37867058823528</v>
      </c>
      <c r="I19" s="80"/>
      <c r="J19" s="80"/>
      <c r="K19" s="80"/>
      <c r="L19" s="80"/>
      <c r="M19" s="80"/>
      <c r="N19" s="80"/>
      <c r="O19" s="80"/>
      <c r="P19" s="80"/>
      <c r="Q19" s="80"/>
      <c r="R19" s="80"/>
      <c r="S19" s="80"/>
      <c r="T19" s="80"/>
    </row>
    <row r="20" spans="1:20" s="80" customFormat="1" ht="33" customHeight="1">
      <c r="A20" s="587"/>
      <c r="B20" s="586"/>
      <c r="C20" s="63">
        <v>2110</v>
      </c>
      <c r="D20" s="116" t="s">
        <v>65</v>
      </c>
      <c r="E20" s="285">
        <v>15000</v>
      </c>
      <c r="F20" s="285">
        <v>10000</v>
      </c>
      <c r="G20" s="285"/>
      <c r="H20" s="287">
        <f t="shared" si="0"/>
        <v>66.666666666666657</v>
      </c>
      <c r="I20" s="67"/>
      <c r="J20" s="67"/>
      <c r="K20" s="67"/>
      <c r="L20" s="67"/>
      <c r="M20" s="67"/>
      <c r="N20" s="67"/>
      <c r="O20" s="67"/>
      <c r="P20" s="67"/>
      <c r="Q20" s="67"/>
      <c r="R20" s="67"/>
      <c r="S20" s="67"/>
      <c r="T20" s="67"/>
    </row>
    <row r="21" spans="1:20" s="80" customFormat="1" ht="34.5" customHeight="1">
      <c r="A21" s="588"/>
      <c r="B21" s="588"/>
      <c r="C21" s="63">
        <v>2360</v>
      </c>
      <c r="D21" s="116" t="s">
        <v>132</v>
      </c>
      <c r="E21" s="285">
        <v>70000</v>
      </c>
      <c r="F21" s="285">
        <v>89771.87</v>
      </c>
      <c r="G21" s="285"/>
      <c r="H21" s="287">
        <f t="shared" si="0"/>
        <v>128.24552857142857</v>
      </c>
      <c r="I21" s="67"/>
      <c r="J21" s="67"/>
      <c r="K21" s="67"/>
      <c r="L21" s="67"/>
      <c r="M21" s="67"/>
      <c r="N21" s="67"/>
      <c r="O21" s="67"/>
      <c r="P21" s="67"/>
      <c r="Q21" s="67"/>
      <c r="R21" s="67"/>
      <c r="S21" s="67"/>
      <c r="T21" s="67"/>
    </row>
    <row r="22" spans="1:20" s="67" customFormat="1" ht="15" customHeight="1">
      <c r="A22" s="81">
        <v>710</v>
      </c>
      <c r="B22" s="72"/>
      <c r="C22" s="66"/>
      <c r="D22" s="76" t="s">
        <v>30</v>
      </c>
      <c r="E22" s="284">
        <f>E23+E25+E27</f>
        <v>369173</v>
      </c>
      <c r="F22" s="284">
        <f>F23+F25+F27</f>
        <v>369531.94</v>
      </c>
      <c r="G22" s="284"/>
      <c r="H22" s="286">
        <f t="shared" si="0"/>
        <v>100.09722812881765</v>
      </c>
    </row>
    <row r="23" spans="1:20" s="67" customFormat="1" ht="14.25" customHeight="1">
      <c r="A23" s="591" t="s">
        <v>12</v>
      </c>
      <c r="B23" s="82">
        <v>71013</v>
      </c>
      <c r="C23" s="68"/>
      <c r="D23" s="116" t="s">
        <v>71</v>
      </c>
      <c r="E23" s="285">
        <f>E24</f>
        <v>67000</v>
      </c>
      <c r="F23" s="285">
        <f>F24</f>
        <v>67000</v>
      </c>
      <c r="G23" s="285"/>
      <c r="H23" s="287">
        <f t="shared" si="0"/>
        <v>100</v>
      </c>
    </row>
    <row r="24" spans="1:20" s="67" customFormat="1" ht="33.75" customHeight="1">
      <c r="A24" s="592"/>
      <c r="B24" s="83"/>
      <c r="C24" s="63">
        <v>2110</v>
      </c>
      <c r="D24" s="116" t="s">
        <v>65</v>
      </c>
      <c r="E24" s="285">
        <v>67000</v>
      </c>
      <c r="F24" s="285">
        <v>67000</v>
      </c>
      <c r="G24" s="285"/>
      <c r="H24" s="287">
        <f t="shared" si="0"/>
        <v>100</v>
      </c>
      <c r="I24" s="80"/>
      <c r="J24" s="80"/>
      <c r="K24" s="80"/>
      <c r="L24" s="80"/>
      <c r="M24" s="80"/>
      <c r="N24" s="80"/>
      <c r="O24" s="80"/>
      <c r="P24" s="80"/>
      <c r="Q24" s="80"/>
      <c r="R24" s="80"/>
      <c r="S24" s="80"/>
      <c r="T24" s="80"/>
    </row>
    <row r="25" spans="1:20" s="80" customFormat="1" ht="12">
      <c r="A25" s="592"/>
      <c r="B25" s="83">
        <v>71014</v>
      </c>
      <c r="C25" s="63"/>
      <c r="D25" s="116" t="s">
        <v>72</v>
      </c>
      <c r="E25" s="285">
        <f>E26</f>
        <v>17000</v>
      </c>
      <c r="F25" s="285">
        <f>F26</f>
        <v>17000</v>
      </c>
      <c r="G25" s="285"/>
      <c r="H25" s="287">
        <f t="shared" si="0"/>
        <v>100</v>
      </c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</row>
    <row r="26" spans="1:20" s="67" customFormat="1" ht="33" customHeight="1">
      <c r="A26" s="592"/>
      <c r="B26" s="83"/>
      <c r="C26" s="63">
        <v>2110</v>
      </c>
      <c r="D26" s="116" t="s">
        <v>65</v>
      </c>
      <c r="E26" s="285">
        <v>17000</v>
      </c>
      <c r="F26" s="285">
        <v>17000</v>
      </c>
      <c r="G26" s="285"/>
      <c r="H26" s="287">
        <f t="shared" si="0"/>
        <v>100</v>
      </c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0"/>
      <c r="T26" s="80"/>
    </row>
    <row r="27" spans="1:20" s="67" customFormat="1" ht="12">
      <c r="A27" s="592"/>
      <c r="B27" s="270">
        <v>71015</v>
      </c>
      <c r="C27" s="63"/>
      <c r="D27" s="116" t="s">
        <v>73</v>
      </c>
      <c r="E27" s="285">
        <f>SUM(E28:E31)</f>
        <v>285173</v>
      </c>
      <c r="F27" s="285">
        <f>SUM(F28:F31)</f>
        <v>285531.94</v>
      </c>
      <c r="G27" s="285"/>
      <c r="H27" s="287">
        <f t="shared" si="0"/>
        <v>100.1258674558952</v>
      </c>
    </row>
    <row r="28" spans="1:20" s="67" customFormat="1" ht="12">
      <c r="A28" s="592"/>
      <c r="B28" s="591"/>
      <c r="C28" s="84" t="s">
        <v>37</v>
      </c>
      <c r="D28" s="114" t="s">
        <v>38</v>
      </c>
      <c r="E28" s="285"/>
      <c r="F28" s="285">
        <v>27.6</v>
      </c>
      <c r="G28" s="285"/>
      <c r="H28" s="287"/>
    </row>
    <row r="29" spans="1:20" s="67" customFormat="1" ht="12.75" customHeight="1">
      <c r="A29" s="592"/>
      <c r="B29" s="592"/>
      <c r="C29" s="84" t="s">
        <v>49</v>
      </c>
      <c r="D29" s="116" t="s">
        <v>59</v>
      </c>
      <c r="E29" s="285"/>
      <c r="F29" s="285">
        <v>331.84</v>
      </c>
      <c r="G29" s="285"/>
      <c r="H29" s="287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</row>
    <row r="30" spans="1:20" s="67" customFormat="1" ht="34.5" customHeight="1">
      <c r="A30" s="592"/>
      <c r="B30" s="592"/>
      <c r="C30" s="78">
        <v>2110</v>
      </c>
      <c r="D30" s="116" t="s">
        <v>65</v>
      </c>
      <c r="E30" s="285">
        <v>285173</v>
      </c>
      <c r="F30" s="285">
        <v>285165</v>
      </c>
      <c r="G30" s="285"/>
      <c r="H30" s="287">
        <f t="shared" ref="H30:H43" si="1">F30/E30*100</f>
        <v>99.997194685331365</v>
      </c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</row>
    <row r="31" spans="1:20" s="67" customFormat="1" ht="34.5" customHeight="1">
      <c r="A31" s="593"/>
      <c r="B31" s="593"/>
      <c r="C31" s="368">
        <v>2360</v>
      </c>
      <c r="D31" s="116" t="s">
        <v>132</v>
      </c>
      <c r="E31" s="285"/>
      <c r="F31" s="285">
        <v>7.5</v>
      </c>
      <c r="G31" s="285"/>
      <c r="H31" s="287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</row>
    <row r="32" spans="1:20" s="67" customFormat="1" ht="12">
      <c r="A32" s="66">
        <v>750</v>
      </c>
      <c r="B32" s="66"/>
      <c r="C32" s="66"/>
      <c r="D32" s="76" t="s">
        <v>31</v>
      </c>
      <c r="E32" s="284">
        <f>E33+E35</f>
        <v>133196</v>
      </c>
      <c r="F32" s="284">
        <f>F33+F35</f>
        <v>132862.34</v>
      </c>
      <c r="G32" s="284"/>
      <c r="H32" s="286">
        <f t="shared" si="1"/>
        <v>99.749496981891355</v>
      </c>
    </row>
    <row r="33" spans="1:20" s="67" customFormat="1" ht="12">
      <c r="A33" s="590" t="s">
        <v>12</v>
      </c>
      <c r="B33" s="68">
        <v>75011</v>
      </c>
      <c r="C33" s="68"/>
      <c r="D33" s="116" t="s">
        <v>76</v>
      </c>
      <c r="E33" s="285">
        <f>E34</f>
        <v>114200</v>
      </c>
      <c r="F33" s="285">
        <f>F34</f>
        <v>113866.61</v>
      </c>
      <c r="G33" s="285"/>
      <c r="H33" s="287">
        <f t="shared" si="1"/>
        <v>99.708064798598954</v>
      </c>
    </row>
    <row r="34" spans="1:20" s="67" customFormat="1" ht="33.75">
      <c r="A34" s="590"/>
      <c r="B34" s="68"/>
      <c r="C34" s="63">
        <v>2110</v>
      </c>
      <c r="D34" s="116" t="s">
        <v>65</v>
      </c>
      <c r="E34" s="285">
        <v>114200</v>
      </c>
      <c r="F34" s="285">
        <v>113866.61</v>
      </c>
      <c r="G34" s="285"/>
      <c r="H34" s="287">
        <f t="shared" si="1"/>
        <v>99.708064798598954</v>
      </c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</row>
    <row r="35" spans="1:20" s="67" customFormat="1" ht="12">
      <c r="A35" s="590"/>
      <c r="B35" s="68">
        <v>75045</v>
      </c>
      <c r="C35" s="68"/>
      <c r="D35" s="116" t="s">
        <v>352</v>
      </c>
      <c r="E35" s="285">
        <f>E36</f>
        <v>18996</v>
      </c>
      <c r="F35" s="285">
        <f>F36</f>
        <v>18995.73</v>
      </c>
      <c r="G35" s="285"/>
      <c r="H35" s="287">
        <f t="shared" si="1"/>
        <v>99.998578648136444</v>
      </c>
    </row>
    <row r="36" spans="1:20" s="67" customFormat="1" ht="33" customHeight="1">
      <c r="A36" s="590"/>
      <c r="B36" s="63"/>
      <c r="C36" s="63">
        <v>2110</v>
      </c>
      <c r="D36" s="116" t="s">
        <v>65</v>
      </c>
      <c r="E36" s="285">
        <v>18996</v>
      </c>
      <c r="F36" s="285">
        <v>18995.73</v>
      </c>
      <c r="G36" s="285"/>
      <c r="H36" s="287">
        <f t="shared" si="1"/>
        <v>99.998578648136444</v>
      </c>
    </row>
    <row r="37" spans="1:20" s="67" customFormat="1" ht="24.75" customHeight="1">
      <c r="A37" s="379">
        <v>751</v>
      </c>
      <c r="B37" s="380"/>
      <c r="C37" s="380"/>
      <c r="D37" s="381" t="s">
        <v>357</v>
      </c>
      <c r="E37" s="246">
        <f t="shared" ref="E37:G38" si="2">E38</f>
        <v>16251</v>
      </c>
      <c r="F37" s="254">
        <f t="shared" si="2"/>
        <v>16251</v>
      </c>
      <c r="G37" s="254">
        <f t="shared" si="2"/>
        <v>0</v>
      </c>
      <c r="H37" s="382">
        <f t="shared" ref="H37:H39" si="3">(F37+G37)/E37*100</f>
        <v>100</v>
      </c>
    </row>
    <row r="38" spans="1:20" s="67" customFormat="1" ht="33" customHeight="1">
      <c r="A38" s="366"/>
      <c r="B38" s="363">
        <v>75109</v>
      </c>
      <c r="C38" s="363"/>
      <c r="D38" s="156" t="s">
        <v>356</v>
      </c>
      <c r="E38" s="243">
        <f t="shared" si="2"/>
        <v>16251</v>
      </c>
      <c r="F38" s="251">
        <f t="shared" si="2"/>
        <v>16251</v>
      </c>
      <c r="G38" s="251">
        <f t="shared" si="2"/>
        <v>0</v>
      </c>
      <c r="H38" s="201">
        <f t="shared" si="3"/>
        <v>100</v>
      </c>
    </row>
    <row r="39" spans="1:20" s="67" customFormat="1" ht="33" customHeight="1">
      <c r="A39" s="366"/>
      <c r="B39" s="363"/>
      <c r="C39" s="363">
        <v>2110</v>
      </c>
      <c r="D39" s="111" t="s">
        <v>65</v>
      </c>
      <c r="E39" s="243">
        <v>16251</v>
      </c>
      <c r="F39" s="251">
        <v>16251</v>
      </c>
      <c r="G39" s="251">
        <v>0</v>
      </c>
      <c r="H39" s="201">
        <f t="shared" si="3"/>
        <v>100</v>
      </c>
    </row>
    <row r="40" spans="1:20" s="67" customFormat="1" ht="13.5" customHeight="1">
      <c r="A40" s="77">
        <v>754</v>
      </c>
      <c r="B40" s="75"/>
      <c r="C40" s="75"/>
      <c r="D40" s="76" t="s">
        <v>32</v>
      </c>
      <c r="E40" s="284">
        <f>E41+E49</f>
        <v>3680923</v>
      </c>
      <c r="F40" s="284">
        <f t="shared" ref="F40:G40" si="4">F41+F49</f>
        <v>2995308.02</v>
      </c>
      <c r="G40" s="284">
        <f t="shared" si="4"/>
        <v>700000</v>
      </c>
      <c r="H40" s="286">
        <f t="shared" si="1"/>
        <v>81.373829879081967</v>
      </c>
    </row>
    <row r="41" spans="1:20" s="67" customFormat="1" ht="12">
      <c r="A41" s="586" t="s">
        <v>12</v>
      </c>
      <c r="B41" s="85">
        <v>75411</v>
      </c>
      <c r="C41" s="63"/>
      <c r="D41" s="116" t="s">
        <v>40</v>
      </c>
      <c r="E41" s="285">
        <f>SUM(E42:E48)</f>
        <v>3674023</v>
      </c>
      <c r="F41" s="285">
        <f>SUM(F42:F48)</f>
        <v>2988408.02</v>
      </c>
      <c r="G41" s="285">
        <f>SUM(G42:G48)</f>
        <v>700000</v>
      </c>
      <c r="H41" s="287">
        <f t="shared" si="1"/>
        <v>81.338848994685122</v>
      </c>
    </row>
    <row r="42" spans="1:20" s="67" customFormat="1" ht="12">
      <c r="A42" s="587"/>
      <c r="B42" s="586"/>
      <c r="C42" s="84" t="s">
        <v>49</v>
      </c>
      <c r="D42" s="116" t="s">
        <v>59</v>
      </c>
      <c r="E42" s="285">
        <v>0</v>
      </c>
      <c r="F42" s="285">
        <v>6492.53</v>
      </c>
      <c r="G42" s="285"/>
      <c r="H42" s="287"/>
    </row>
    <row r="43" spans="1:20" s="67" customFormat="1" ht="22.5">
      <c r="A43" s="587"/>
      <c r="B43" s="587"/>
      <c r="C43" s="84" t="s">
        <v>101</v>
      </c>
      <c r="D43" s="111" t="s">
        <v>158</v>
      </c>
      <c r="E43" s="285">
        <v>2000</v>
      </c>
      <c r="F43" s="285">
        <v>2000</v>
      </c>
      <c r="G43" s="285"/>
      <c r="H43" s="287">
        <f t="shared" si="1"/>
        <v>100</v>
      </c>
    </row>
    <row r="44" spans="1:20" s="67" customFormat="1" ht="12">
      <c r="A44" s="587"/>
      <c r="B44" s="587"/>
      <c r="C44" s="84" t="s">
        <v>56</v>
      </c>
      <c r="D44" s="116" t="s">
        <v>58</v>
      </c>
      <c r="E44" s="285">
        <v>0</v>
      </c>
      <c r="F44" s="285">
        <v>7824.4</v>
      </c>
      <c r="G44" s="285"/>
      <c r="H44" s="287"/>
    </row>
    <row r="45" spans="1:20" s="67" customFormat="1" ht="33.75">
      <c r="A45" s="587"/>
      <c r="B45" s="587"/>
      <c r="C45" s="78">
        <v>2110</v>
      </c>
      <c r="D45" s="116" t="s">
        <v>65</v>
      </c>
      <c r="E45" s="285">
        <v>2972023</v>
      </c>
      <c r="F45" s="285">
        <v>2972011.21</v>
      </c>
      <c r="G45" s="285"/>
      <c r="H45" s="287">
        <f>F45/E45*100</f>
        <v>99.999603300512817</v>
      </c>
    </row>
    <row r="46" spans="1:20" s="67" customFormat="1" ht="33.75">
      <c r="A46" s="587"/>
      <c r="B46" s="587"/>
      <c r="C46" s="78">
        <v>2360</v>
      </c>
      <c r="D46" s="116" t="s">
        <v>132</v>
      </c>
      <c r="E46" s="285">
        <v>0</v>
      </c>
      <c r="F46" s="285">
        <v>79.88</v>
      </c>
      <c r="G46" s="285"/>
      <c r="H46" s="287"/>
    </row>
    <row r="47" spans="1:20" s="67" customFormat="1" ht="45">
      <c r="A47" s="587"/>
      <c r="B47" s="587"/>
      <c r="C47" s="78">
        <v>6300</v>
      </c>
      <c r="D47" s="111" t="s">
        <v>252</v>
      </c>
      <c r="E47" s="285">
        <v>50000</v>
      </c>
      <c r="F47" s="285">
        <v>0</v>
      </c>
      <c r="G47" s="285">
        <v>50000</v>
      </c>
      <c r="H47" s="287">
        <f>(F47+G47)/E47*100</f>
        <v>100</v>
      </c>
    </row>
    <row r="48" spans="1:20" s="67" customFormat="1" ht="33.75">
      <c r="A48" s="587"/>
      <c r="B48" s="588"/>
      <c r="C48" s="78">
        <v>6410</v>
      </c>
      <c r="D48" s="111" t="s">
        <v>253</v>
      </c>
      <c r="E48" s="285">
        <v>650000</v>
      </c>
      <c r="F48" s="285">
        <v>0</v>
      </c>
      <c r="G48" s="285">
        <v>650000</v>
      </c>
      <c r="H48" s="287">
        <f>(F48+G48)/E48*100</f>
        <v>100</v>
      </c>
    </row>
    <row r="49" spans="1:8" s="67" customFormat="1" ht="12">
      <c r="A49" s="587"/>
      <c r="B49" s="367">
        <v>75478</v>
      </c>
      <c r="C49" s="78"/>
      <c r="D49" s="204" t="s">
        <v>355</v>
      </c>
      <c r="E49" s="285">
        <f>E50</f>
        <v>6900</v>
      </c>
      <c r="F49" s="285">
        <f>F50</f>
        <v>6900</v>
      </c>
      <c r="G49" s="285"/>
      <c r="H49" s="287">
        <f t="shared" ref="H49:H50" si="5">(F49+G49)/E49*100</f>
        <v>100</v>
      </c>
    </row>
    <row r="50" spans="1:8" s="67" customFormat="1" ht="33.75">
      <c r="A50" s="588"/>
      <c r="B50" s="367"/>
      <c r="C50" s="78">
        <v>2110</v>
      </c>
      <c r="D50" s="116" t="s">
        <v>65</v>
      </c>
      <c r="E50" s="285">
        <v>6900</v>
      </c>
      <c r="F50" s="285">
        <v>6900</v>
      </c>
      <c r="G50" s="285"/>
      <c r="H50" s="287">
        <f t="shared" si="5"/>
        <v>100</v>
      </c>
    </row>
    <row r="51" spans="1:8" s="67" customFormat="1" ht="12.75" customHeight="1">
      <c r="A51" s="86">
        <v>851</v>
      </c>
      <c r="B51" s="86"/>
      <c r="C51" s="75"/>
      <c r="D51" s="64" t="s">
        <v>34</v>
      </c>
      <c r="E51" s="284">
        <f>E52</f>
        <v>2302000</v>
      </c>
      <c r="F51" s="284">
        <f>F52</f>
        <v>2174883.0099999998</v>
      </c>
      <c r="G51" s="284"/>
      <c r="H51" s="286">
        <f t="shared" ref="H51:H55" si="6">F51/E51*100</f>
        <v>94.477976107732403</v>
      </c>
    </row>
    <row r="52" spans="1:8" s="67" customFormat="1" ht="12">
      <c r="A52" s="587"/>
      <c r="B52" s="63">
        <v>85156</v>
      </c>
      <c r="C52" s="63"/>
      <c r="D52" s="289" t="s">
        <v>88</v>
      </c>
      <c r="E52" s="285">
        <f>E53</f>
        <v>2302000</v>
      </c>
      <c r="F52" s="285">
        <f>F53</f>
        <v>2174883.0099999998</v>
      </c>
      <c r="G52" s="285"/>
      <c r="H52" s="287">
        <f t="shared" si="6"/>
        <v>94.477976107732403</v>
      </c>
    </row>
    <row r="53" spans="1:8" s="67" customFormat="1" ht="33" customHeight="1">
      <c r="A53" s="587"/>
      <c r="B53" s="63"/>
      <c r="C53" s="63">
        <v>2110</v>
      </c>
      <c r="D53" s="116" t="s">
        <v>65</v>
      </c>
      <c r="E53" s="285">
        <v>2302000</v>
      </c>
      <c r="F53" s="285">
        <v>2174883.0099999998</v>
      </c>
      <c r="G53" s="285"/>
      <c r="H53" s="287">
        <f t="shared" si="6"/>
        <v>94.477976107732403</v>
      </c>
    </row>
    <row r="54" spans="1:8" s="67" customFormat="1" ht="12">
      <c r="A54" s="75">
        <v>852</v>
      </c>
      <c r="B54" s="75"/>
      <c r="C54" s="75"/>
      <c r="D54" s="76" t="s">
        <v>35</v>
      </c>
      <c r="E54" s="284">
        <f>E55+E60</f>
        <v>725680</v>
      </c>
      <c r="F54" s="284">
        <f>F55+F60</f>
        <v>729597.39000000013</v>
      </c>
      <c r="G54" s="284"/>
      <c r="H54" s="286">
        <f t="shared" si="6"/>
        <v>100.53982333811049</v>
      </c>
    </row>
    <row r="55" spans="1:8" s="67" customFormat="1" ht="12">
      <c r="A55" s="586"/>
      <c r="B55" s="63">
        <v>85203</v>
      </c>
      <c r="C55" s="63"/>
      <c r="D55" s="116" t="s">
        <v>91</v>
      </c>
      <c r="E55" s="285">
        <f>SUM(E56:E59)</f>
        <v>403180</v>
      </c>
      <c r="F55" s="285">
        <f>SUM(F56:F59)</f>
        <v>407299.56000000006</v>
      </c>
      <c r="G55" s="285"/>
      <c r="H55" s="287">
        <f t="shared" si="6"/>
        <v>101.02176695272584</v>
      </c>
    </row>
    <row r="56" spans="1:8" s="67" customFormat="1" ht="45">
      <c r="A56" s="587"/>
      <c r="B56" s="587"/>
      <c r="C56" s="61" t="s">
        <v>21</v>
      </c>
      <c r="D56" s="116" t="s">
        <v>133</v>
      </c>
      <c r="E56" s="285">
        <v>12600</v>
      </c>
      <c r="F56" s="285">
        <v>15900</v>
      </c>
      <c r="G56" s="285"/>
      <c r="H56" s="287"/>
    </row>
    <row r="57" spans="1:8" s="67" customFormat="1" ht="12">
      <c r="A57" s="587"/>
      <c r="B57" s="587"/>
      <c r="C57" s="61" t="s">
        <v>49</v>
      </c>
      <c r="D57" s="116" t="s">
        <v>59</v>
      </c>
      <c r="E57" s="285">
        <v>0</v>
      </c>
      <c r="F57" s="285">
        <v>497.71</v>
      </c>
      <c r="G57" s="285"/>
      <c r="H57" s="287"/>
    </row>
    <row r="58" spans="1:8" s="67" customFormat="1" ht="33.75">
      <c r="A58" s="587"/>
      <c r="B58" s="587"/>
      <c r="C58" s="63">
        <v>2110</v>
      </c>
      <c r="D58" s="116" t="s">
        <v>65</v>
      </c>
      <c r="E58" s="285">
        <v>390580</v>
      </c>
      <c r="F58" s="285">
        <v>390564.76</v>
      </c>
      <c r="G58" s="285"/>
      <c r="H58" s="287">
        <f>F58/E58*100</f>
        <v>99.996098110502331</v>
      </c>
    </row>
    <row r="59" spans="1:8" s="67" customFormat="1" ht="33.75">
      <c r="A59" s="587"/>
      <c r="B59" s="588"/>
      <c r="C59" s="63">
        <v>2360</v>
      </c>
      <c r="D59" s="116" t="s">
        <v>132</v>
      </c>
      <c r="E59" s="285">
        <v>0</v>
      </c>
      <c r="F59" s="285">
        <v>337.09</v>
      </c>
      <c r="G59" s="285"/>
      <c r="H59" s="287"/>
    </row>
    <row r="60" spans="1:8" s="67" customFormat="1" ht="13.5" customHeight="1">
      <c r="A60" s="587"/>
      <c r="B60" s="269">
        <v>85205</v>
      </c>
      <c r="C60" s="271"/>
      <c r="D60" s="111" t="s">
        <v>257</v>
      </c>
      <c r="E60" s="285">
        <f>E61</f>
        <v>322500</v>
      </c>
      <c r="F60" s="285">
        <f>F61</f>
        <v>322297.83</v>
      </c>
      <c r="G60" s="285"/>
      <c r="H60" s="287">
        <f t="shared" ref="H60:H67" si="7">F60/E60*100</f>
        <v>99.937311627906979</v>
      </c>
    </row>
    <row r="61" spans="1:8" s="67" customFormat="1" ht="33.75">
      <c r="A61" s="588"/>
      <c r="B61" s="269"/>
      <c r="C61" s="271">
        <v>2110</v>
      </c>
      <c r="D61" s="116" t="s">
        <v>65</v>
      </c>
      <c r="E61" s="285">
        <v>322500</v>
      </c>
      <c r="F61" s="285">
        <v>322297.83</v>
      </c>
      <c r="G61" s="285"/>
      <c r="H61" s="287">
        <f t="shared" si="7"/>
        <v>99.937311627906979</v>
      </c>
    </row>
    <row r="62" spans="1:8" s="67" customFormat="1" ht="12">
      <c r="A62" s="75">
        <v>853</v>
      </c>
      <c r="B62" s="75"/>
      <c r="C62" s="74"/>
      <c r="D62" s="76" t="s">
        <v>36</v>
      </c>
      <c r="E62" s="284">
        <f>E63+E65</f>
        <v>130647</v>
      </c>
      <c r="F62" s="284">
        <f>F63+F65</f>
        <v>129478.56</v>
      </c>
      <c r="G62" s="284"/>
      <c r="H62" s="286">
        <f t="shared" si="7"/>
        <v>99.105651105651106</v>
      </c>
    </row>
    <row r="63" spans="1:8" s="67" customFormat="1" ht="12">
      <c r="A63" s="577" t="s">
        <v>12</v>
      </c>
      <c r="B63" s="63">
        <v>85321</v>
      </c>
      <c r="C63" s="63"/>
      <c r="D63" s="116" t="s">
        <v>94</v>
      </c>
      <c r="E63" s="285">
        <f>E64</f>
        <v>84500</v>
      </c>
      <c r="F63" s="285">
        <f>F64</f>
        <v>84457.75</v>
      </c>
      <c r="G63" s="285"/>
      <c r="H63" s="287">
        <f t="shared" si="7"/>
        <v>99.95</v>
      </c>
    </row>
    <row r="64" spans="1:8" s="67" customFormat="1" ht="33.75">
      <c r="A64" s="577"/>
      <c r="B64" s="63"/>
      <c r="C64" s="63">
        <v>2110</v>
      </c>
      <c r="D64" s="116" t="s">
        <v>65</v>
      </c>
      <c r="E64" s="285">
        <v>84500</v>
      </c>
      <c r="F64" s="285">
        <v>84457.75</v>
      </c>
      <c r="G64" s="285"/>
      <c r="H64" s="287">
        <f t="shared" si="7"/>
        <v>99.95</v>
      </c>
    </row>
    <row r="65" spans="1:8" s="67" customFormat="1" ht="12">
      <c r="A65" s="577"/>
      <c r="B65" s="63">
        <v>85334</v>
      </c>
      <c r="C65" s="61"/>
      <c r="D65" s="116" t="s">
        <v>126</v>
      </c>
      <c r="E65" s="285">
        <f>E66</f>
        <v>46147</v>
      </c>
      <c r="F65" s="285">
        <f>F66</f>
        <v>45020.81</v>
      </c>
      <c r="G65" s="285"/>
      <c r="H65" s="287">
        <f t="shared" si="7"/>
        <v>97.559559668017414</v>
      </c>
    </row>
    <row r="66" spans="1:8" s="67" customFormat="1" ht="33.75">
      <c r="A66" s="577"/>
      <c r="B66" s="63"/>
      <c r="C66" s="63">
        <v>2110</v>
      </c>
      <c r="D66" s="116" t="s">
        <v>65</v>
      </c>
      <c r="E66" s="285">
        <v>46147</v>
      </c>
      <c r="F66" s="285">
        <v>45020.81</v>
      </c>
      <c r="G66" s="285"/>
      <c r="H66" s="287">
        <f t="shared" si="7"/>
        <v>97.559559668017414</v>
      </c>
    </row>
    <row r="67" spans="1:8" s="67" customFormat="1" ht="12">
      <c r="A67" s="574" t="s">
        <v>26</v>
      </c>
      <c r="B67" s="575"/>
      <c r="C67" s="575"/>
      <c r="D67" s="576"/>
      <c r="E67" s="284">
        <f>E13+E18+E22+E32+E40+E51+E54+E62+E37</f>
        <v>7562870</v>
      </c>
      <c r="F67" s="284">
        <f t="shared" ref="F67:G67" si="8">F13+F18+F22+F32+F40+F51+F54+F62+F37</f>
        <v>6767762.6499999994</v>
      </c>
      <c r="G67" s="284">
        <f t="shared" si="8"/>
        <v>700000</v>
      </c>
      <c r="H67" s="286">
        <f t="shared" si="7"/>
        <v>89.486698171461356</v>
      </c>
    </row>
    <row r="68" spans="1:8" s="67" customFormat="1" ht="12"/>
  </sheetData>
  <mergeCells count="27">
    <mergeCell ref="F10:F11"/>
    <mergeCell ref="G10:G11"/>
    <mergeCell ref="A14:A17"/>
    <mergeCell ref="B56:B59"/>
    <mergeCell ref="B42:B48"/>
    <mergeCell ref="A52:A53"/>
    <mergeCell ref="A33:A36"/>
    <mergeCell ref="A55:A61"/>
    <mergeCell ref="A23:A31"/>
    <mergeCell ref="B28:B31"/>
    <mergeCell ref="A41:A50"/>
    <mergeCell ref="A67:D67"/>
    <mergeCell ref="A63:A66"/>
    <mergeCell ref="D1:H1"/>
    <mergeCell ref="H9:H11"/>
    <mergeCell ref="C9:C11"/>
    <mergeCell ref="D9:D11"/>
    <mergeCell ref="A4:H4"/>
    <mergeCell ref="A3:H3"/>
    <mergeCell ref="A5:H5"/>
    <mergeCell ref="A6:H6"/>
    <mergeCell ref="E9:E11"/>
    <mergeCell ref="A9:A11"/>
    <mergeCell ref="B9:B11"/>
    <mergeCell ref="A19:A21"/>
    <mergeCell ref="B20:B21"/>
    <mergeCell ref="F9:G9"/>
  </mergeCells>
  <phoneticPr fontId="0" type="noConversion"/>
  <pageMargins left="0.78740157480314965" right="0.39370078740157483" top="0.98425196850393704" bottom="0.98425196850393704" header="0.51181102362204722" footer="0.51181102362204722"/>
  <pageSetup paperSize="9" orientation="portrait" r:id="rId1"/>
  <headerFooter alignWithMargins="0">
    <oddFooter>&amp;C&amp;"Times New (W1),Normalny"Tabela Nr 2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A1:AG99"/>
  <sheetViews>
    <sheetView view="pageLayout" topLeftCell="A73" workbookViewId="0">
      <selection activeCell="C93" sqref="C93"/>
    </sheetView>
  </sheetViews>
  <sheetFormatPr defaultRowHeight="12.75"/>
  <cols>
    <col min="1" max="1" width="3.7109375" customWidth="1"/>
    <col min="2" max="2" width="5" customWidth="1"/>
    <col min="3" max="3" width="25.42578125" customWidth="1"/>
    <col min="4" max="4" width="10.7109375" customWidth="1"/>
    <col min="5" max="5" width="11.28515625" customWidth="1"/>
    <col min="6" max="6" width="11" customWidth="1"/>
    <col min="7" max="8" width="10.7109375" customWidth="1"/>
    <col min="9" max="9" width="10" customWidth="1"/>
    <col min="10" max="11" width="9.7109375" customWidth="1"/>
    <col min="12" max="12" width="8.85546875" customWidth="1"/>
    <col min="13" max="13" width="10.85546875" customWidth="1"/>
    <col min="14" max="14" width="6.42578125" style="107" customWidth="1"/>
  </cols>
  <sheetData>
    <row r="1" spans="1:33">
      <c r="A1" s="42"/>
      <c r="B1" s="42"/>
      <c r="C1" s="42"/>
      <c r="D1" s="42"/>
      <c r="E1" s="42"/>
      <c r="F1" s="42"/>
      <c r="G1" s="42"/>
      <c r="H1" s="42"/>
      <c r="I1" s="598" t="s">
        <v>364</v>
      </c>
      <c r="J1" s="598"/>
      <c r="K1" s="598"/>
      <c r="L1" s="598"/>
      <c r="M1" s="598"/>
      <c r="N1" s="598"/>
    </row>
    <row r="2" spans="1:33" ht="14.25">
      <c r="A2" s="594" t="s">
        <v>6</v>
      </c>
      <c r="B2" s="594"/>
      <c r="C2" s="594"/>
      <c r="D2" s="594"/>
      <c r="E2" s="594"/>
      <c r="F2" s="594"/>
      <c r="G2" s="594"/>
      <c r="H2" s="594"/>
      <c r="I2" s="594"/>
      <c r="J2" s="594"/>
      <c r="K2" s="594"/>
      <c r="L2" s="594"/>
      <c r="M2" s="594"/>
      <c r="N2" s="594"/>
    </row>
    <row r="3" spans="1:33" ht="14.25">
      <c r="A3" s="594" t="s">
        <v>3</v>
      </c>
      <c r="B3" s="594"/>
      <c r="C3" s="594"/>
      <c r="D3" s="594"/>
      <c r="E3" s="594"/>
      <c r="F3" s="594"/>
      <c r="G3" s="594"/>
      <c r="H3" s="594"/>
      <c r="I3" s="594"/>
      <c r="J3" s="594"/>
      <c r="K3" s="594"/>
      <c r="L3" s="594"/>
      <c r="M3" s="594"/>
      <c r="N3" s="594"/>
    </row>
    <row r="4" spans="1:33" ht="15.75" customHeight="1">
      <c r="A4" s="595" t="s">
        <v>4</v>
      </c>
      <c r="B4" s="595"/>
      <c r="C4" s="595"/>
      <c r="D4" s="595"/>
      <c r="E4" s="595"/>
      <c r="F4" s="595"/>
      <c r="G4" s="595"/>
      <c r="H4" s="595"/>
      <c r="I4" s="595"/>
      <c r="J4" s="595"/>
      <c r="K4" s="595"/>
      <c r="L4" s="595"/>
      <c r="M4" s="595"/>
      <c r="N4" s="595"/>
    </row>
    <row r="5" spans="1:33" ht="14.25">
      <c r="A5" s="594" t="s">
        <v>353</v>
      </c>
      <c r="B5" s="594"/>
      <c r="C5" s="594"/>
      <c r="D5" s="594"/>
      <c r="E5" s="594"/>
      <c r="F5" s="594"/>
      <c r="G5" s="594"/>
      <c r="H5" s="594"/>
      <c r="I5" s="594"/>
      <c r="J5" s="594"/>
      <c r="K5" s="594"/>
      <c r="L5" s="594"/>
      <c r="M5" s="594"/>
      <c r="N5" s="594"/>
    </row>
    <row r="6" spans="1:33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/>
      <c r="N6" s="108"/>
    </row>
    <row r="7" spans="1:33">
      <c r="A7" s="42" t="s">
        <v>304</v>
      </c>
      <c r="B7" s="42"/>
      <c r="C7" s="42"/>
      <c r="D7" s="42"/>
      <c r="E7" s="42"/>
      <c r="F7" s="42"/>
      <c r="G7" s="42"/>
      <c r="H7" s="42"/>
      <c r="I7" s="42"/>
      <c r="J7" s="42"/>
      <c r="K7" s="42"/>
      <c r="L7" s="42"/>
      <c r="M7" s="54" t="s">
        <v>146</v>
      </c>
    </row>
    <row r="8" spans="1:33" s="6" customFormat="1" ht="12.75" customHeight="1">
      <c r="A8" s="596" t="s">
        <v>0</v>
      </c>
      <c r="B8" s="596" t="s">
        <v>7</v>
      </c>
      <c r="C8" s="596" t="s">
        <v>1</v>
      </c>
      <c r="D8" s="597" t="s">
        <v>161</v>
      </c>
      <c r="E8" s="562" t="s">
        <v>128</v>
      </c>
      <c r="F8" s="599" t="s">
        <v>149</v>
      </c>
      <c r="G8" s="600"/>
      <c r="H8" s="600"/>
      <c r="I8" s="600"/>
      <c r="J8" s="600"/>
      <c r="K8" s="600"/>
      <c r="L8" s="600"/>
      <c r="M8" s="600"/>
      <c r="N8" s="602" t="s">
        <v>125</v>
      </c>
    </row>
    <row r="9" spans="1:33" s="6" customFormat="1" ht="12.75" customHeight="1">
      <c r="A9" s="596"/>
      <c r="B9" s="596"/>
      <c r="C9" s="596"/>
      <c r="D9" s="597"/>
      <c r="E9" s="563"/>
      <c r="F9" s="601" t="s">
        <v>8</v>
      </c>
      <c r="G9" s="605" t="s">
        <v>9</v>
      </c>
      <c r="H9" s="606"/>
      <c r="I9" s="606"/>
      <c r="J9" s="606"/>
      <c r="K9" s="606"/>
      <c r="L9" s="607"/>
      <c r="M9" s="596" t="s">
        <v>150</v>
      </c>
      <c r="N9" s="603"/>
    </row>
    <row r="10" spans="1:33" s="6" customFormat="1" ht="73.5" customHeight="1">
      <c r="A10" s="596"/>
      <c r="B10" s="596"/>
      <c r="C10" s="596"/>
      <c r="D10" s="597"/>
      <c r="E10" s="564"/>
      <c r="F10" s="601"/>
      <c r="G10" s="117" t="s">
        <v>258</v>
      </c>
      <c r="H10" s="117" t="s">
        <v>262</v>
      </c>
      <c r="I10" s="117" t="s">
        <v>259</v>
      </c>
      <c r="J10" s="117" t="s">
        <v>260</v>
      </c>
      <c r="K10" s="263" t="s">
        <v>261</v>
      </c>
      <c r="L10" s="117" t="s">
        <v>10</v>
      </c>
      <c r="M10" s="596"/>
      <c r="N10" s="604"/>
    </row>
    <row r="11" spans="1:33" s="52" customFormat="1" ht="11.25">
      <c r="A11" s="50">
        <v>1</v>
      </c>
      <c r="B11" s="50">
        <v>2</v>
      </c>
      <c r="C11" s="50">
        <v>3</v>
      </c>
      <c r="D11" s="50">
        <v>4</v>
      </c>
      <c r="E11" s="112">
        <v>5</v>
      </c>
      <c r="F11" s="50">
        <v>6</v>
      </c>
      <c r="G11" s="50">
        <v>7</v>
      </c>
      <c r="H11" s="50">
        <v>8</v>
      </c>
      <c r="I11" s="50">
        <v>9</v>
      </c>
      <c r="J11" s="209">
        <v>10</v>
      </c>
      <c r="K11" s="209">
        <v>11</v>
      </c>
      <c r="L11" s="209">
        <v>12</v>
      </c>
      <c r="M11" s="209">
        <v>13</v>
      </c>
      <c r="N11" s="109">
        <v>14</v>
      </c>
    </row>
    <row r="12" spans="1:33" s="3" customFormat="1">
      <c r="A12" s="223" t="s">
        <v>13</v>
      </c>
      <c r="B12" s="225"/>
      <c r="C12" s="218" t="s">
        <v>27</v>
      </c>
      <c r="D12" s="258">
        <f>D13+D14</f>
        <v>120294</v>
      </c>
      <c r="E12" s="258">
        <f t="shared" ref="E12:M12" si="0">E13+E14</f>
        <v>120292.16</v>
      </c>
      <c r="F12" s="258">
        <f t="shared" si="0"/>
        <v>120292.16</v>
      </c>
      <c r="G12" s="258">
        <f t="shared" si="0"/>
        <v>2450</v>
      </c>
      <c r="H12" s="258">
        <f t="shared" si="0"/>
        <v>117842.16</v>
      </c>
      <c r="I12" s="258">
        <f t="shared" si="0"/>
        <v>0</v>
      </c>
      <c r="J12" s="258">
        <f t="shared" si="0"/>
        <v>0</v>
      </c>
      <c r="K12" s="258">
        <f t="shared" si="0"/>
        <v>0</v>
      </c>
      <c r="L12" s="258">
        <f t="shared" si="0"/>
        <v>0</v>
      </c>
      <c r="M12" s="258">
        <f t="shared" si="0"/>
        <v>0</v>
      </c>
      <c r="N12" s="342">
        <f>E12/D12*100</f>
        <v>99.998470414151996</v>
      </c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</row>
    <row r="13" spans="1:33">
      <c r="A13" s="540" t="s">
        <v>12</v>
      </c>
      <c r="B13" s="150" t="s">
        <v>48</v>
      </c>
      <c r="C13" s="136" t="s">
        <v>64</v>
      </c>
      <c r="D13" s="259">
        <v>120000</v>
      </c>
      <c r="E13" s="259">
        <v>119998.16</v>
      </c>
      <c r="F13" s="259">
        <f>E13</f>
        <v>119998.16</v>
      </c>
      <c r="G13" s="259">
        <v>2450</v>
      </c>
      <c r="H13" s="259">
        <f>F13-G13</f>
        <v>117548.16</v>
      </c>
      <c r="I13" s="259">
        <v>0</v>
      </c>
      <c r="J13" s="259"/>
      <c r="K13" s="259"/>
      <c r="L13" s="259">
        <v>0</v>
      </c>
      <c r="M13" s="259">
        <v>0</v>
      </c>
      <c r="N13" s="342">
        <f t="shared" ref="N13:N80" si="1">E13/D13*100</f>
        <v>99.998466666666673</v>
      </c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</row>
    <row r="14" spans="1:33">
      <c r="A14" s="542"/>
      <c r="B14" s="150" t="s">
        <v>237</v>
      </c>
      <c r="C14" s="219" t="s">
        <v>74</v>
      </c>
      <c r="D14" s="259">
        <v>294</v>
      </c>
      <c r="E14" s="259">
        <v>294</v>
      </c>
      <c r="F14" s="259">
        <f>E14</f>
        <v>294</v>
      </c>
      <c r="G14" s="259"/>
      <c r="H14" s="259">
        <f>F14</f>
        <v>294</v>
      </c>
      <c r="I14" s="259"/>
      <c r="J14" s="259"/>
      <c r="K14" s="259"/>
      <c r="L14" s="259"/>
      <c r="M14" s="259"/>
      <c r="N14" s="342">
        <f t="shared" si="1"/>
        <v>100</v>
      </c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</row>
    <row r="15" spans="1:33" s="4" customFormat="1">
      <c r="A15" s="223" t="s">
        <v>14</v>
      </c>
      <c r="B15" s="223"/>
      <c r="C15" s="216" t="s">
        <v>28</v>
      </c>
      <c r="D15" s="260">
        <f>D16+D17</f>
        <v>306840.53000000003</v>
      </c>
      <c r="E15" s="260">
        <f t="shared" ref="E15:M15" si="2">E16+E17</f>
        <v>294878.65000000002</v>
      </c>
      <c r="F15" s="260">
        <f t="shared" si="2"/>
        <v>294878.65000000002</v>
      </c>
      <c r="G15" s="260">
        <f t="shared" si="2"/>
        <v>0</v>
      </c>
      <c r="H15" s="260">
        <f t="shared" si="2"/>
        <v>43880.76</v>
      </c>
      <c r="I15" s="260">
        <f t="shared" si="2"/>
        <v>0</v>
      </c>
      <c r="J15" s="260">
        <f t="shared" si="2"/>
        <v>250997.89</v>
      </c>
      <c r="K15" s="260">
        <f t="shared" si="2"/>
        <v>0</v>
      </c>
      <c r="L15" s="260">
        <f t="shared" si="2"/>
        <v>0</v>
      </c>
      <c r="M15" s="260">
        <f t="shared" si="2"/>
        <v>0</v>
      </c>
      <c r="N15" s="342">
        <f t="shared" si="1"/>
        <v>96.101597139074158</v>
      </c>
      <c r="O15" s="30"/>
      <c r="P15" s="30"/>
      <c r="Q15" s="30"/>
      <c r="R15" s="30"/>
      <c r="S15" s="30"/>
      <c r="T15" s="30"/>
      <c r="U15" s="30"/>
      <c r="V15" s="30"/>
      <c r="W15" s="30"/>
      <c r="X15" s="30"/>
      <c r="Y15" s="30"/>
      <c r="Z15" s="30"/>
      <c r="AA15" s="30"/>
      <c r="AB15" s="30"/>
      <c r="AC15" s="30"/>
      <c r="AD15" s="30"/>
      <c r="AE15" s="30"/>
      <c r="AF15" s="30"/>
      <c r="AG15" s="30"/>
    </row>
    <row r="16" spans="1:33">
      <c r="A16" s="540"/>
      <c r="B16" s="150" t="s">
        <v>66</v>
      </c>
      <c r="C16" s="204" t="s">
        <v>67</v>
      </c>
      <c r="D16" s="259">
        <v>260000</v>
      </c>
      <c r="E16" s="259">
        <v>250997.89</v>
      </c>
      <c r="F16" s="259">
        <f>E16</f>
        <v>250997.89</v>
      </c>
      <c r="G16" s="259">
        <v>0</v>
      </c>
      <c r="H16" s="259"/>
      <c r="I16" s="259">
        <v>0</v>
      </c>
      <c r="J16" s="259">
        <f>F16</f>
        <v>250997.89</v>
      </c>
      <c r="K16" s="259"/>
      <c r="L16" s="259">
        <v>0</v>
      </c>
      <c r="M16" s="259">
        <v>0</v>
      </c>
      <c r="N16" s="342">
        <f t="shared" si="1"/>
        <v>96.537650000000014</v>
      </c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</row>
    <row r="17" spans="1:33">
      <c r="A17" s="541"/>
      <c r="B17" s="150" t="s">
        <v>102</v>
      </c>
      <c r="C17" s="136" t="s">
        <v>103</v>
      </c>
      <c r="D17" s="259">
        <v>46840.53</v>
      </c>
      <c r="E17" s="259">
        <v>43880.76</v>
      </c>
      <c r="F17" s="259">
        <f>E17</f>
        <v>43880.76</v>
      </c>
      <c r="G17" s="259">
        <v>0</v>
      </c>
      <c r="H17" s="259">
        <f>F17</f>
        <v>43880.76</v>
      </c>
      <c r="I17" s="259">
        <v>0</v>
      </c>
      <c r="J17" s="259"/>
      <c r="K17" s="259"/>
      <c r="L17" s="259">
        <v>0</v>
      </c>
      <c r="M17" s="259">
        <v>0</v>
      </c>
      <c r="N17" s="342">
        <f t="shared" si="1"/>
        <v>93.681177390605967</v>
      </c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  <c r="AF17" s="29"/>
      <c r="AG17" s="29"/>
    </row>
    <row r="18" spans="1:33" s="41" customFormat="1">
      <c r="A18" s="222">
        <v>150</v>
      </c>
      <c r="B18" s="223"/>
      <c r="C18" s="135" t="s">
        <v>152</v>
      </c>
      <c r="D18" s="260">
        <f>D19</f>
        <v>1520</v>
      </c>
      <c r="E18" s="260">
        <f>E19</f>
        <v>1519.73</v>
      </c>
      <c r="F18" s="260">
        <f>F19</f>
        <v>1519.73</v>
      </c>
      <c r="G18" s="260">
        <f>G19</f>
        <v>1519.73</v>
      </c>
      <c r="H18" s="260">
        <f>H19</f>
        <v>0</v>
      </c>
      <c r="I18" s="259">
        <v>0</v>
      </c>
      <c r="J18" s="259"/>
      <c r="K18" s="259"/>
      <c r="L18" s="259">
        <v>0</v>
      </c>
      <c r="M18" s="259">
        <v>0</v>
      </c>
      <c r="N18" s="342">
        <f t="shared" si="1"/>
        <v>99.982236842105266</v>
      </c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0"/>
      <c r="AE18" s="40"/>
      <c r="AF18" s="40"/>
      <c r="AG18" s="40"/>
    </row>
    <row r="19" spans="1:33">
      <c r="A19" s="208"/>
      <c r="B19" s="150">
        <v>15011</v>
      </c>
      <c r="C19" s="136" t="s">
        <v>153</v>
      </c>
      <c r="D19" s="259">
        <v>1520</v>
      </c>
      <c r="E19" s="259">
        <v>1519.73</v>
      </c>
      <c r="F19" s="259">
        <f>E19</f>
        <v>1519.73</v>
      </c>
      <c r="G19" s="259">
        <f>F19</f>
        <v>1519.73</v>
      </c>
      <c r="H19" s="259">
        <v>0</v>
      </c>
      <c r="I19" s="259">
        <v>0</v>
      </c>
      <c r="J19" s="259"/>
      <c r="K19" s="259"/>
      <c r="L19" s="259">
        <v>0</v>
      </c>
      <c r="M19" s="259">
        <v>0</v>
      </c>
      <c r="N19" s="342">
        <f t="shared" si="1"/>
        <v>99.982236842105266</v>
      </c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</row>
    <row r="20" spans="1:33" s="4" customFormat="1">
      <c r="A20" s="222">
        <v>600</v>
      </c>
      <c r="B20" s="223"/>
      <c r="C20" s="135" t="s">
        <v>69</v>
      </c>
      <c r="D20" s="260">
        <f>D22+D23+D21</f>
        <v>8901530.2300000004</v>
      </c>
      <c r="E20" s="260">
        <f t="shared" ref="E20:M20" si="3">E22+E23+E21</f>
        <v>8838080.2100000009</v>
      </c>
      <c r="F20" s="260">
        <f t="shared" si="3"/>
        <v>3628919.7300000014</v>
      </c>
      <c r="G20" s="260">
        <f t="shared" si="3"/>
        <v>873040.41000000015</v>
      </c>
      <c r="H20" s="260">
        <f t="shared" si="3"/>
        <v>2740666.4800000014</v>
      </c>
      <c r="I20" s="260">
        <f t="shared" si="3"/>
        <v>0</v>
      </c>
      <c r="J20" s="260">
        <f t="shared" si="3"/>
        <v>15212.84</v>
      </c>
      <c r="K20" s="260">
        <f t="shared" si="3"/>
        <v>0</v>
      </c>
      <c r="L20" s="260">
        <f t="shared" si="3"/>
        <v>0</v>
      </c>
      <c r="M20" s="260">
        <f t="shared" si="3"/>
        <v>5209160.4799999995</v>
      </c>
      <c r="N20" s="342">
        <f t="shared" si="1"/>
        <v>99.2872009827461</v>
      </c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</row>
    <row r="21" spans="1:33" s="4" customFormat="1">
      <c r="A21" s="611"/>
      <c r="B21" s="267">
        <v>60002</v>
      </c>
      <c r="C21" s="268" t="s">
        <v>305</v>
      </c>
      <c r="D21" s="262">
        <v>50000</v>
      </c>
      <c r="E21" s="262">
        <v>50000</v>
      </c>
      <c r="F21" s="262"/>
      <c r="G21" s="262"/>
      <c r="H21" s="262"/>
      <c r="I21" s="262"/>
      <c r="J21" s="262"/>
      <c r="K21" s="262"/>
      <c r="L21" s="262"/>
      <c r="M21" s="262">
        <v>50000</v>
      </c>
      <c r="N21" s="342">
        <f t="shared" si="1"/>
        <v>100</v>
      </c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</row>
    <row r="22" spans="1:33">
      <c r="A22" s="612"/>
      <c r="B22" s="150">
        <v>60014</v>
      </c>
      <c r="C22" s="136" t="s">
        <v>39</v>
      </c>
      <c r="D22" s="259">
        <v>8651530.2300000004</v>
      </c>
      <c r="E22" s="259">
        <v>8588080.2100000009</v>
      </c>
      <c r="F22" s="259">
        <f>E22-M22</f>
        <v>3628919.7300000014</v>
      </c>
      <c r="G22" s="259">
        <f>700460.66+46168.93+111056.17+13134.65+2220</f>
        <v>873040.41000000015</v>
      </c>
      <c r="H22" s="259">
        <f>F22-G22-J22</f>
        <v>2740666.4800000014</v>
      </c>
      <c r="I22" s="259">
        <v>0</v>
      </c>
      <c r="J22" s="259">
        <v>15212.84</v>
      </c>
      <c r="K22" s="259"/>
      <c r="L22" s="259">
        <v>0</v>
      </c>
      <c r="M22" s="259">
        <f>886818.44+1849930.15+2071951.1+150460.79</f>
        <v>4959160.4799999995</v>
      </c>
      <c r="N22" s="342">
        <f t="shared" si="1"/>
        <v>99.26660349888185</v>
      </c>
      <c r="O22" s="29"/>
      <c r="P22" s="29"/>
      <c r="Q22" s="29"/>
      <c r="R22" s="29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  <c r="AF22" s="29"/>
      <c r="AG22" s="29"/>
    </row>
    <row r="23" spans="1:33">
      <c r="A23" s="613"/>
      <c r="B23" s="150">
        <v>60016</v>
      </c>
      <c r="C23" s="136" t="s">
        <v>238</v>
      </c>
      <c r="D23" s="259">
        <v>200000</v>
      </c>
      <c r="E23" s="259">
        <v>200000</v>
      </c>
      <c r="F23" s="259"/>
      <c r="G23" s="259"/>
      <c r="H23" s="259"/>
      <c r="I23" s="259"/>
      <c r="J23" s="259"/>
      <c r="K23" s="259"/>
      <c r="L23" s="259"/>
      <c r="M23" s="259">
        <v>200000</v>
      </c>
      <c r="N23" s="342">
        <f t="shared" si="1"/>
        <v>100</v>
      </c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</row>
    <row r="24" spans="1:33" s="4" customFormat="1">
      <c r="A24" s="222">
        <v>700</v>
      </c>
      <c r="B24" s="223"/>
      <c r="C24" s="135" t="s">
        <v>29</v>
      </c>
      <c r="D24" s="260">
        <f>D25</f>
        <v>400032.83</v>
      </c>
      <c r="E24" s="260">
        <f t="shared" ref="E24:M24" si="4">E25</f>
        <v>331498.11</v>
      </c>
      <c r="F24" s="260">
        <f t="shared" si="4"/>
        <v>298021.94</v>
      </c>
      <c r="G24" s="260">
        <f t="shared" si="4"/>
        <v>750</v>
      </c>
      <c r="H24" s="260">
        <f t="shared" si="4"/>
        <v>297271.94</v>
      </c>
      <c r="I24" s="260">
        <f t="shared" si="4"/>
        <v>0</v>
      </c>
      <c r="J24" s="260">
        <f t="shared" si="4"/>
        <v>0</v>
      </c>
      <c r="K24" s="260">
        <f t="shared" si="4"/>
        <v>0</v>
      </c>
      <c r="L24" s="260">
        <f t="shared" si="4"/>
        <v>0</v>
      </c>
      <c r="M24" s="260">
        <f t="shared" si="4"/>
        <v>33476.17</v>
      </c>
      <c r="N24" s="342">
        <f t="shared" si="1"/>
        <v>82.867726131377765</v>
      </c>
      <c r="O24" s="30"/>
      <c r="P24" s="30"/>
      <c r="Q24" s="30"/>
      <c r="R24" s="30"/>
      <c r="S24" s="30"/>
      <c r="T24" s="30"/>
      <c r="U24" s="30"/>
      <c r="V24" s="30"/>
      <c r="W24" s="30"/>
      <c r="X24" s="30"/>
      <c r="Y24" s="30"/>
      <c r="Z24" s="30"/>
      <c r="AA24" s="30"/>
      <c r="AB24" s="30"/>
      <c r="AC24" s="30"/>
      <c r="AD24" s="30"/>
      <c r="AE24" s="30"/>
      <c r="AF24" s="30"/>
      <c r="AG24" s="30"/>
    </row>
    <row r="25" spans="1:33">
      <c r="A25" s="236" t="s">
        <v>12</v>
      </c>
      <c r="B25" s="208">
        <v>70005</v>
      </c>
      <c r="C25" s="136" t="s">
        <v>70</v>
      </c>
      <c r="D25" s="259">
        <v>400032.83</v>
      </c>
      <c r="E25" s="259">
        <v>331498.11</v>
      </c>
      <c r="F25" s="259">
        <f>E25-M25</f>
        <v>298021.94</v>
      </c>
      <c r="G25" s="259">
        <v>750</v>
      </c>
      <c r="H25" s="259">
        <f>F25-G25</f>
        <v>297271.94</v>
      </c>
      <c r="I25" s="259">
        <v>0</v>
      </c>
      <c r="J25" s="259"/>
      <c r="K25" s="259"/>
      <c r="L25" s="259">
        <v>0</v>
      </c>
      <c r="M25" s="259">
        <f>19045.83+14430.34</f>
        <v>33476.17</v>
      </c>
      <c r="N25" s="342">
        <f t="shared" si="1"/>
        <v>82.867726131377765</v>
      </c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  <c r="AF25" s="29"/>
      <c r="AG25" s="29"/>
    </row>
    <row r="26" spans="1:33" s="4" customFormat="1">
      <c r="A26" s="222">
        <v>710</v>
      </c>
      <c r="B26" s="222"/>
      <c r="C26" s="135" t="s">
        <v>104</v>
      </c>
      <c r="D26" s="260">
        <f>D27+D28+D29</f>
        <v>369173</v>
      </c>
      <c r="E26" s="260">
        <f t="shared" ref="E26:M26" si="5">E27+E28+E29</f>
        <v>369165</v>
      </c>
      <c r="F26" s="260">
        <f t="shared" si="5"/>
        <v>369165</v>
      </c>
      <c r="G26" s="260">
        <f t="shared" si="5"/>
        <v>253673.4</v>
      </c>
      <c r="H26" s="260">
        <f t="shared" si="5"/>
        <v>115491.6</v>
      </c>
      <c r="I26" s="260">
        <f t="shared" si="5"/>
        <v>0</v>
      </c>
      <c r="J26" s="260">
        <f t="shared" si="5"/>
        <v>0</v>
      </c>
      <c r="K26" s="260">
        <f t="shared" si="5"/>
        <v>0</v>
      </c>
      <c r="L26" s="260">
        <f t="shared" si="5"/>
        <v>0</v>
      </c>
      <c r="M26" s="260">
        <f t="shared" si="5"/>
        <v>0</v>
      </c>
      <c r="N26" s="342">
        <f t="shared" si="1"/>
        <v>99.997832994287222</v>
      </c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</row>
    <row r="27" spans="1:33">
      <c r="A27" s="547" t="s">
        <v>12</v>
      </c>
      <c r="B27" s="208">
        <v>71013</v>
      </c>
      <c r="C27" s="136" t="s">
        <v>105</v>
      </c>
      <c r="D27" s="259">
        <v>67000</v>
      </c>
      <c r="E27" s="259">
        <v>67000</v>
      </c>
      <c r="F27" s="259">
        <v>67000</v>
      </c>
      <c r="G27" s="259"/>
      <c r="H27" s="259">
        <v>67000</v>
      </c>
      <c r="I27" s="259"/>
      <c r="J27" s="259"/>
      <c r="K27" s="259"/>
      <c r="L27" s="259">
        <v>0</v>
      </c>
      <c r="M27" s="259">
        <v>0</v>
      </c>
      <c r="N27" s="342">
        <f t="shared" si="1"/>
        <v>100</v>
      </c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</row>
    <row r="28" spans="1:33" ht="12.75" customHeight="1">
      <c r="A28" s="547"/>
      <c r="B28" s="208">
        <v>71014</v>
      </c>
      <c r="C28" s="204" t="s">
        <v>72</v>
      </c>
      <c r="D28" s="259">
        <v>17000</v>
      </c>
      <c r="E28" s="259">
        <v>17000</v>
      </c>
      <c r="F28" s="259">
        <v>17000</v>
      </c>
      <c r="G28" s="259"/>
      <c r="H28" s="259">
        <v>17000</v>
      </c>
      <c r="I28" s="259"/>
      <c r="J28" s="259"/>
      <c r="K28" s="259"/>
      <c r="L28" s="259">
        <v>0</v>
      </c>
      <c r="M28" s="259">
        <v>0</v>
      </c>
      <c r="N28" s="342">
        <f t="shared" si="1"/>
        <v>100</v>
      </c>
      <c r="O28" s="29"/>
      <c r="P28" s="29"/>
      <c r="Q28" s="29"/>
      <c r="R28" s="29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  <c r="AF28" s="29"/>
      <c r="AG28" s="29"/>
    </row>
    <row r="29" spans="1:33" ht="15" customHeight="1">
      <c r="A29" s="547"/>
      <c r="B29" s="208">
        <v>71015</v>
      </c>
      <c r="C29" s="204" t="s">
        <v>73</v>
      </c>
      <c r="D29" s="259">
        <v>285173</v>
      </c>
      <c r="E29" s="259">
        <v>285165</v>
      </c>
      <c r="F29" s="259">
        <f>E29</f>
        <v>285165</v>
      </c>
      <c r="G29" s="259">
        <f>69158.6+135246.19+15451.46+31521.86+2295.29</f>
        <v>253673.4</v>
      </c>
      <c r="H29" s="259">
        <f>F29-G29</f>
        <v>31491.600000000006</v>
      </c>
      <c r="I29" s="259"/>
      <c r="J29" s="259"/>
      <c r="K29" s="259"/>
      <c r="L29" s="259">
        <v>0</v>
      </c>
      <c r="M29" s="259"/>
      <c r="N29" s="342">
        <f t="shared" si="1"/>
        <v>99.997194685331365</v>
      </c>
      <c r="O29" s="29"/>
      <c r="P29" s="29"/>
      <c r="Q29" s="29"/>
      <c r="R29" s="29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  <c r="AF29" s="29"/>
      <c r="AG29" s="29"/>
    </row>
    <row r="30" spans="1:33" s="4" customFormat="1">
      <c r="A30" s="222">
        <v>750</v>
      </c>
      <c r="B30" s="222"/>
      <c r="C30" s="216" t="s">
        <v>31</v>
      </c>
      <c r="D30" s="260">
        <f>D31+D34+D32+D33+D36+D35</f>
        <v>9028621.4000000004</v>
      </c>
      <c r="E30" s="260">
        <f t="shared" ref="E30:M30" si="6">E31+E34+E32+E33+E36+E35</f>
        <v>8696846.3000000007</v>
      </c>
      <c r="F30" s="260">
        <f t="shared" si="6"/>
        <v>5705790.6000000006</v>
      </c>
      <c r="G30" s="260">
        <f t="shared" si="6"/>
        <v>3699577.1100000003</v>
      </c>
      <c r="H30" s="260">
        <f t="shared" si="6"/>
        <v>1799308.8200000003</v>
      </c>
      <c r="I30" s="260">
        <f t="shared" si="6"/>
        <v>0</v>
      </c>
      <c r="J30" s="260">
        <f t="shared" si="6"/>
        <v>206904.66999999998</v>
      </c>
      <c r="K30" s="260">
        <f t="shared" si="6"/>
        <v>0</v>
      </c>
      <c r="L30" s="260">
        <f t="shared" si="6"/>
        <v>0</v>
      </c>
      <c r="M30" s="260">
        <f t="shared" si="6"/>
        <v>2991055.6999999997</v>
      </c>
      <c r="N30" s="342">
        <f t="shared" si="1"/>
        <v>96.325296129927438</v>
      </c>
      <c r="O30" s="30"/>
      <c r="P30" s="30"/>
      <c r="Q30" s="30"/>
      <c r="R30" s="30"/>
      <c r="S30" s="30"/>
      <c r="T30" s="30"/>
      <c r="U30" s="30"/>
      <c r="V30" s="30"/>
      <c r="W30" s="30"/>
      <c r="X30" s="30"/>
      <c r="Y30" s="30"/>
      <c r="Z30" s="30"/>
      <c r="AA30" s="30"/>
      <c r="AB30" s="30"/>
      <c r="AC30" s="30"/>
      <c r="AD30" s="30"/>
      <c r="AE30" s="30"/>
      <c r="AF30" s="30"/>
      <c r="AG30" s="30"/>
    </row>
    <row r="31" spans="1:33">
      <c r="A31" s="547" t="s">
        <v>12</v>
      </c>
      <c r="B31" s="208">
        <v>75011</v>
      </c>
      <c r="C31" s="204" t="s">
        <v>76</v>
      </c>
      <c r="D31" s="259">
        <v>114200</v>
      </c>
      <c r="E31" s="259">
        <v>113866.61</v>
      </c>
      <c r="F31" s="259">
        <f>E31</f>
        <v>113866.61</v>
      </c>
      <c r="G31" s="259">
        <f>F31</f>
        <v>113866.61</v>
      </c>
      <c r="H31" s="259">
        <v>0</v>
      </c>
      <c r="I31" s="259">
        <v>0</v>
      </c>
      <c r="J31" s="259"/>
      <c r="K31" s="259"/>
      <c r="L31" s="259">
        <v>0</v>
      </c>
      <c r="M31" s="259">
        <v>0</v>
      </c>
      <c r="N31" s="342">
        <f t="shared" si="1"/>
        <v>99.708064798598954</v>
      </c>
      <c r="O31" s="29"/>
      <c r="P31" s="29"/>
      <c r="Q31" s="29"/>
      <c r="R31" s="29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  <c r="AF31" s="29"/>
      <c r="AG31" s="29"/>
    </row>
    <row r="32" spans="1:33">
      <c r="A32" s="547"/>
      <c r="B32" s="208">
        <v>75019</v>
      </c>
      <c r="C32" s="204" t="s">
        <v>106</v>
      </c>
      <c r="D32" s="259">
        <v>214660</v>
      </c>
      <c r="E32" s="259">
        <v>209948.35</v>
      </c>
      <c r="F32" s="259">
        <f>E32</f>
        <v>209948.35</v>
      </c>
      <c r="G32" s="259">
        <v>5960</v>
      </c>
      <c r="H32" s="259">
        <f>F32-J32-G32</f>
        <v>7820.570000000007</v>
      </c>
      <c r="I32" s="259">
        <v>0</v>
      </c>
      <c r="J32" s="259">
        <v>196167.78</v>
      </c>
      <c r="K32" s="259"/>
      <c r="L32" s="259">
        <v>0</v>
      </c>
      <c r="M32" s="259">
        <v>0</v>
      </c>
      <c r="N32" s="342">
        <f t="shared" si="1"/>
        <v>97.805063821857829</v>
      </c>
      <c r="O32" s="29"/>
      <c r="P32" s="29"/>
      <c r="Q32" s="29"/>
      <c r="R32" s="29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  <c r="AF32" s="29"/>
      <c r="AG32" s="29"/>
    </row>
    <row r="33" spans="1:33">
      <c r="A33" s="547"/>
      <c r="B33" s="265">
        <v>75020</v>
      </c>
      <c r="C33" s="266" t="s">
        <v>77</v>
      </c>
      <c r="D33" s="259">
        <v>8206257.4000000004</v>
      </c>
      <c r="E33" s="259">
        <v>7883346.0199999996</v>
      </c>
      <c r="F33" s="259">
        <f>E33-M33</f>
        <v>4892290.32</v>
      </c>
      <c r="G33" s="261">
        <f>2827658.88+198013.98+419120.5+61818.5+38105.91</f>
        <v>3544717.77</v>
      </c>
      <c r="H33" s="259">
        <f>F33-G33-J33</f>
        <v>1338835.6600000004</v>
      </c>
      <c r="I33" s="259">
        <v>0</v>
      </c>
      <c r="J33" s="259">
        <v>8736.89</v>
      </c>
      <c r="K33" s="259"/>
      <c r="L33" s="259">
        <v>0</v>
      </c>
      <c r="M33" s="259">
        <f>2894257.59+96798.11</f>
        <v>2991055.6999999997</v>
      </c>
      <c r="N33" s="342">
        <f t="shared" si="1"/>
        <v>96.065059085278008</v>
      </c>
      <c r="O33" s="29"/>
      <c r="P33" s="29"/>
      <c r="Q33" s="29"/>
      <c r="R33" s="29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29"/>
    </row>
    <row r="34" spans="1:33">
      <c r="A34" s="547"/>
      <c r="B34" s="208">
        <v>75045</v>
      </c>
      <c r="C34" s="204" t="s">
        <v>352</v>
      </c>
      <c r="D34" s="259">
        <v>18996</v>
      </c>
      <c r="E34" s="259">
        <v>18995.73</v>
      </c>
      <c r="F34" s="259">
        <f>E34</f>
        <v>18995.73</v>
      </c>
      <c r="G34" s="261">
        <f>401.66+65.18+12020</f>
        <v>12486.84</v>
      </c>
      <c r="H34" s="259">
        <f>F34-G34-J34</f>
        <v>4508.8899999999994</v>
      </c>
      <c r="I34" s="259">
        <v>0</v>
      </c>
      <c r="J34" s="259">
        <v>2000</v>
      </c>
      <c r="K34" s="259"/>
      <c r="L34" s="259">
        <v>0</v>
      </c>
      <c r="M34" s="259">
        <v>0</v>
      </c>
      <c r="N34" s="342">
        <f t="shared" si="1"/>
        <v>99.998578648136444</v>
      </c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</row>
    <row r="35" spans="1:33" ht="25.5" customHeight="1">
      <c r="A35" s="547"/>
      <c r="B35" s="208">
        <v>75075</v>
      </c>
      <c r="C35" s="204" t="s">
        <v>144</v>
      </c>
      <c r="D35" s="259">
        <v>273646</v>
      </c>
      <c r="E35" s="259">
        <v>271627.89</v>
      </c>
      <c r="F35" s="259">
        <f>E35</f>
        <v>271627.89</v>
      </c>
      <c r="G35" s="259">
        <v>22545.89</v>
      </c>
      <c r="H35" s="259">
        <f>F35-G35</f>
        <v>249082</v>
      </c>
      <c r="I35" s="259">
        <v>0</v>
      </c>
      <c r="J35" s="259"/>
      <c r="K35" s="259"/>
      <c r="L35" s="259">
        <v>0</v>
      </c>
      <c r="M35" s="259"/>
      <c r="N35" s="342">
        <f t="shared" si="1"/>
        <v>99.26251068899235</v>
      </c>
      <c r="O35" s="29"/>
      <c r="P35" s="29"/>
      <c r="Q35" s="29"/>
      <c r="R35" s="29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  <c r="AF35" s="29"/>
      <c r="AG35" s="29"/>
    </row>
    <row r="36" spans="1:33">
      <c r="A36" s="547"/>
      <c r="B36" s="208">
        <v>75095</v>
      </c>
      <c r="C36" s="204" t="s">
        <v>74</v>
      </c>
      <c r="D36" s="259">
        <v>200862</v>
      </c>
      <c r="E36" s="259">
        <v>199061.7</v>
      </c>
      <c r="F36" s="259">
        <f>E36</f>
        <v>199061.7</v>
      </c>
      <c r="G36" s="259"/>
      <c r="H36" s="259">
        <f>F36</f>
        <v>199061.7</v>
      </c>
      <c r="I36" s="259"/>
      <c r="J36" s="259"/>
      <c r="K36" s="259"/>
      <c r="L36" s="259"/>
      <c r="M36" s="259">
        <v>0</v>
      </c>
      <c r="N36" s="342">
        <f t="shared" si="1"/>
        <v>99.103712996983006</v>
      </c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</row>
    <row r="37" spans="1:33" ht="32.25" customHeight="1">
      <c r="A37" s="240">
        <v>751</v>
      </c>
      <c r="B37" s="240"/>
      <c r="C37" s="381" t="s">
        <v>357</v>
      </c>
      <c r="D37" s="383">
        <f>D38</f>
        <v>17701.09</v>
      </c>
      <c r="E37" s="383">
        <f t="shared" ref="E37:M37" si="7">E38</f>
        <v>17701.09</v>
      </c>
      <c r="F37" s="383">
        <f t="shared" si="7"/>
        <v>17701.09</v>
      </c>
      <c r="G37" s="383">
        <f t="shared" si="7"/>
        <v>4224.45</v>
      </c>
      <c r="H37" s="383">
        <f t="shared" si="7"/>
        <v>12006.64</v>
      </c>
      <c r="I37" s="383">
        <f t="shared" si="7"/>
        <v>0</v>
      </c>
      <c r="J37" s="383">
        <f t="shared" si="7"/>
        <v>1470</v>
      </c>
      <c r="K37" s="383">
        <f t="shared" si="7"/>
        <v>0</v>
      </c>
      <c r="L37" s="383">
        <f t="shared" si="7"/>
        <v>0</v>
      </c>
      <c r="M37" s="383">
        <f t="shared" si="7"/>
        <v>0</v>
      </c>
      <c r="N37" s="384">
        <f t="shared" si="1"/>
        <v>100</v>
      </c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</row>
    <row r="38" spans="1:33" ht="56.25">
      <c r="A38" s="363"/>
      <c r="B38" s="363">
        <v>75109</v>
      </c>
      <c r="C38" s="156" t="s">
        <v>356</v>
      </c>
      <c r="D38" s="259">
        <v>17701.09</v>
      </c>
      <c r="E38" s="259">
        <v>17701.09</v>
      </c>
      <c r="F38" s="259">
        <f>E38</f>
        <v>17701.09</v>
      </c>
      <c r="G38" s="259">
        <f>543.6+80.85+3600</f>
        <v>4224.45</v>
      </c>
      <c r="H38" s="259">
        <f>F38-G38-J38</f>
        <v>12006.64</v>
      </c>
      <c r="I38" s="259"/>
      <c r="J38" s="259">
        <v>1470</v>
      </c>
      <c r="K38" s="259"/>
      <c r="L38" s="259"/>
      <c r="M38" s="259"/>
      <c r="N38" s="342">
        <f t="shared" si="1"/>
        <v>100</v>
      </c>
      <c r="O38" s="29"/>
      <c r="P38" s="29"/>
      <c r="Q38" s="29"/>
      <c r="R38" s="29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29"/>
    </row>
    <row r="39" spans="1:33" s="4" customFormat="1" ht="24" customHeight="1">
      <c r="A39" s="222">
        <v>754</v>
      </c>
      <c r="B39" s="222"/>
      <c r="C39" s="216" t="s">
        <v>32</v>
      </c>
      <c r="D39" s="260">
        <f>D42+D43+D44+D41+D40+D45</f>
        <v>4177183</v>
      </c>
      <c r="E39" s="260">
        <f t="shared" ref="E39:M39" si="8">E42+E43+E44+E41+E40+E45</f>
        <v>4079616.6999999997</v>
      </c>
      <c r="F39" s="260">
        <f t="shared" si="8"/>
        <v>3061410.3099999996</v>
      </c>
      <c r="G39" s="260">
        <f t="shared" si="8"/>
        <v>2420619.2800000003</v>
      </c>
      <c r="H39" s="260">
        <f t="shared" si="8"/>
        <v>433713.2799999995</v>
      </c>
      <c r="I39" s="260">
        <f t="shared" si="8"/>
        <v>48959.96</v>
      </c>
      <c r="J39" s="260">
        <f t="shared" si="8"/>
        <v>158117.79</v>
      </c>
      <c r="K39" s="260">
        <f t="shared" si="8"/>
        <v>0</v>
      </c>
      <c r="L39" s="260">
        <f t="shared" si="8"/>
        <v>0</v>
      </c>
      <c r="M39" s="260">
        <f t="shared" si="8"/>
        <v>1018206.39</v>
      </c>
      <c r="N39" s="342">
        <f t="shared" si="1"/>
        <v>97.664303910075276</v>
      </c>
      <c r="O39" s="30"/>
      <c r="P39" s="30"/>
      <c r="Q39" s="30"/>
      <c r="R39" s="30"/>
      <c r="S39" s="30"/>
      <c r="T39" s="30"/>
      <c r="U39" s="30"/>
      <c r="V39" s="30"/>
      <c r="W39" s="30"/>
      <c r="X39" s="30"/>
      <c r="Y39" s="30"/>
      <c r="Z39" s="30"/>
      <c r="AA39" s="30"/>
      <c r="AB39" s="30"/>
      <c r="AC39" s="30"/>
      <c r="AD39" s="30"/>
      <c r="AE39" s="30"/>
      <c r="AF39" s="30"/>
      <c r="AG39" s="30"/>
    </row>
    <row r="40" spans="1:33" s="5" customFormat="1" ht="12.75" customHeight="1">
      <c r="A40" s="540"/>
      <c r="B40" s="363">
        <v>75405</v>
      </c>
      <c r="C40" s="204" t="s">
        <v>475</v>
      </c>
      <c r="D40" s="259">
        <v>13760</v>
      </c>
      <c r="E40" s="259">
        <v>13760</v>
      </c>
      <c r="F40" s="259">
        <f>E40-M40</f>
        <v>9960</v>
      </c>
      <c r="G40" s="259"/>
      <c r="H40" s="259"/>
      <c r="I40" s="259">
        <v>9960</v>
      </c>
      <c r="J40" s="259"/>
      <c r="K40" s="259"/>
      <c r="L40" s="259"/>
      <c r="M40" s="259">
        <v>3800</v>
      </c>
      <c r="N40" s="342"/>
      <c r="O40" s="32"/>
      <c r="P40" s="32"/>
      <c r="Q40" s="32"/>
      <c r="R40" s="32"/>
      <c r="S40" s="32"/>
      <c r="T40" s="32"/>
      <c r="U40" s="32"/>
      <c r="V40" s="32"/>
      <c r="W40" s="32"/>
      <c r="X40" s="32"/>
      <c r="Y40" s="32"/>
      <c r="Z40" s="32"/>
      <c r="AA40" s="32"/>
      <c r="AB40" s="32"/>
      <c r="AC40" s="32"/>
      <c r="AD40" s="32"/>
      <c r="AE40" s="32"/>
      <c r="AF40" s="32"/>
      <c r="AG40" s="32"/>
    </row>
    <row r="41" spans="1:33" s="4" customFormat="1">
      <c r="A41" s="541"/>
      <c r="B41" s="224">
        <v>75406</v>
      </c>
      <c r="C41" s="217" t="s">
        <v>239</v>
      </c>
      <c r="D41" s="262">
        <v>4000</v>
      </c>
      <c r="E41" s="262">
        <v>3999.96</v>
      </c>
      <c r="F41" s="262">
        <v>3999.96</v>
      </c>
      <c r="G41" s="259"/>
      <c r="H41" s="259"/>
      <c r="I41" s="262">
        <v>3999.96</v>
      </c>
      <c r="J41" s="262"/>
      <c r="K41" s="262"/>
      <c r="L41" s="259"/>
      <c r="M41" s="262"/>
      <c r="N41" s="342">
        <f t="shared" si="1"/>
        <v>99.999000000000009</v>
      </c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</row>
    <row r="42" spans="1:33" ht="22.5">
      <c r="A42" s="541"/>
      <c r="B42" s="208">
        <v>75411</v>
      </c>
      <c r="C42" s="204" t="s">
        <v>109</v>
      </c>
      <c r="D42" s="259">
        <v>3986023</v>
      </c>
      <c r="E42" s="259">
        <v>3981110.03</v>
      </c>
      <c r="F42" s="259">
        <f>E42-M42</f>
        <v>2986010.03</v>
      </c>
      <c r="G42" s="259">
        <f>67000+4964.47+1915952.1+256741+162725.08+11472.27+1764.36</f>
        <v>2420619.2800000003</v>
      </c>
      <c r="H42" s="259">
        <f>F42-G42-J42</f>
        <v>407272.9599999995</v>
      </c>
      <c r="I42" s="259"/>
      <c r="J42" s="259">
        <v>158117.79</v>
      </c>
      <c r="K42" s="259"/>
      <c r="L42" s="259">
        <v>0</v>
      </c>
      <c r="M42" s="259">
        <v>995100</v>
      </c>
      <c r="N42" s="342">
        <f t="shared" si="1"/>
        <v>99.876745066448436</v>
      </c>
      <c r="O42" s="29"/>
      <c r="P42" s="29"/>
      <c r="Q42" s="29"/>
      <c r="R42" s="29"/>
      <c r="S42" s="29"/>
      <c r="T42" s="29"/>
      <c r="U42" s="29"/>
      <c r="V42" s="29"/>
      <c r="W42" s="29"/>
      <c r="X42" s="29"/>
      <c r="Y42" s="29"/>
      <c r="Z42" s="29"/>
      <c r="AA42" s="29"/>
      <c r="AB42" s="29"/>
      <c r="AC42" s="29"/>
      <c r="AD42" s="29"/>
      <c r="AE42" s="29"/>
      <c r="AF42" s="29"/>
      <c r="AG42" s="29"/>
    </row>
    <row r="43" spans="1:33">
      <c r="A43" s="541"/>
      <c r="B43" s="208">
        <v>75412</v>
      </c>
      <c r="C43" s="204" t="s">
        <v>187</v>
      </c>
      <c r="D43" s="259">
        <v>35000</v>
      </c>
      <c r="E43" s="259">
        <v>35000</v>
      </c>
      <c r="F43" s="259">
        <v>35000</v>
      </c>
      <c r="G43" s="259"/>
      <c r="H43" s="259"/>
      <c r="I43" s="259">
        <v>35000</v>
      </c>
      <c r="J43" s="259"/>
      <c r="K43" s="259"/>
      <c r="L43" s="259">
        <v>0</v>
      </c>
      <c r="M43" s="259">
        <v>0</v>
      </c>
      <c r="N43" s="342">
        <f t="shared" si="1"/>
        <v>100</v>
      </c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</row>
    <row r="44" spans="1:33">
      <c r="A44" s="541"/>
      <c r="B44" s="208">
        <v>75421</v>
      </c>
      <c r="C44" s="204" t="s">
        <v>179</v>
      </c>
      <c r="D44" s="259">
        <v>131500</v>
      </c>
      <c r="E44" s="259">
        <v>38846.71</v>
      </c>
      <c r="F44" s="259">
        <f>E44-M44</f>
        <v>19540.32</v>
      </c>
      <c r="G44" s="259"/>
      <c r="H44" s="259">
        <f>F44</f>
        <v>19540.32</v>
      </c>
      <c r="I44" s="259"/>
      <c r="J44" s="259"/>
      <c r="K44" s="259"/>
      <c r="L44" s="259">
        <v>0</v>
      </c>
      <c r="M44" s="259">
        <f>9999.39+9307</f>
        <v>19306.39</v>
      </c>
      <c r="N44" s="342">
        <f t="shared" si="1"/>
        <v>29.541224334600756</v>
      </c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</row>
    <row r="45" spans="1:33" ht="22.5">
      <c r="A45" s="542"/>
      <c r="B45" s="363">
        <v>75478</v>
      </c>
      <c r="C45" s="204" t="s">
        <v>355</v>
      </c>
      <c r="D45" s="259">
        <v>6900</v>
      </c>
      <c r="E45" s="259">
        <v>6900</v>
      </c>
      <c r="F45" s="259">
        <v>6900</v>
      </c>
      <c r="G45" s="259"/>
      <c r="H45" s="259">
        <v>6900</v>
      </c>
      <c r="I45" s="259"/>
      <c r="J45" s="259"/>
      <c r="K45" s="259"/>
      <c r="L45" s="259"/>
      <c r="M45" s="259"/>
      <c r="N45" s="342">
        <f t="shared" si="1"/>
        <v>100</v>
      </c>
      <c r="O45" s="29"/>
      <c r="P45" s="29"/>
      <c r="Q45" s="29"/>
      <c r="R45" s="29"/>
      <c r="S45" s="29"/>
      <c r="T45" s="29"/>
      <c r="U45" s="29"/>
      <c r="V45" s="29"/>
      <c r="W45" s="29"/>
      <c r="X45" s="29"/>
      <c r="Y45" s="29"/>
      <c r="Z45" s="29"/>
      <c r="AA45" s="29"/>
      <c r="AB45" s="29"/>
      <c r="AC45" s="29"/>
      <c r="AD45" s="29"/>
      <c r="AE45" s="29"/>
      <c r="AF45" s="29"/>
      <c r="AG45" s="29"/>
    </row>
    <row r="46" spans="1:33" s="4" customFormat="1">
      <c r="A46" s="222">
        <v>757</v>
      </c>
      <c r="B46" s="222"/>
      <c r="C46" s="216" t="s">
        <v>110</v>
      </c>
      <c r="D46" s="260">
        <f>D47</f>
        <v>572174</v>
      </c>
      <c r="E46" s="260">
        <f>E47</f>
        <v>447648.58</v>
      </c>
      <c r="F46" s="260">
        <f>F47</f>
        <v>447648.58</v>
      </c>
      <c r="G46" s="259">
        <v>0</v>
      </c>
      <c r="H46" s="259">
        <v>0</v>
      </c>
      <c r="I46" s="259">
        <v>0</v>
      </c>
      <c r="J46" s="259"/>
      <c r="K46" s="259"/>
      <c r="L46" s="260">
        <f>L47</f>
        <v>447648.58</v>
      </c>
      <c r="M46" s="259">
        <v>0</v>
      </c>
      <c r="N46" s="342">
        <f t="shared" si="1"/>
        <v>78.236442061331005</v>
      </c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</row>
    <row r="47" spans="1:33" ht="23.25" customHeight="1">
      <c r="A47" s="208"/>
      <c r="B47" s="208">
        <v>75702</v>
      </c>
      <c r="C47" s="204" t="s">
        <v>147</v>
      </c>
      <c r="D47" s="259">
        <v>572174</v>
      </c>
      <c r="E47" s="259">
        <v>447648.58</v>
      </c>
      <c r="F47" s="259">
        <f>E47</f>
        <v>447648.58</v>
      </c>
      <c r="G47" s="259">
        <v>0</v>
      </c>
      <c r="H47" s="259">
        <v>0</v>
      </c>
      <c r="I47" s="259">
        <v>0</v>
      </c>
      <c r="J47" s="259"/>
      <c r="K47" s="259"/>
      <c r="L47" s="259">
        <f>E47</f>
        <v>447648.58</v>
      </c>
      <c r="M47" s="259">
        <v>0</v>
      </c>
      <c r="N47" s="342">
        <f t="shared" si="1"/>
        <v>78.236442061331005</v>
      </c>
      <c r="O47" s="29"/>
      <c r="P47" s="29"/>
      <c r="Q47" s="29"/>
      <c r="R47" s="29"/>
      <c r="S47" s="29"/>
      <c r="T47" s="29"/>
      <c r="U47" s="29"/>
      <c r="V47" s="29"/>
      <c r="W47" s="29"/>
      <c r="X47" s="29"/>
      <c r="Y47" s="29"/>
      <c r="Z47" s="29"/>
      <c r="AA47" s="29"/>
      <c r="AB47" s="29"/>
      <c r="AC47" s="29"/>
      <c r="AD47" s="29"/>
      <c r="AE47" s="29"/>
      <c r="AF47" s="29"/>
      <c r="AG47" s="29"/>
    </row>
    <row r="48" spans="1:33" s="4" customFormat="1">
      <c r="A48" s="222">
        <v>801</v>
      </c>
      <c r="B48" s="222"/>
      <c r="C48" s="216" t="s">
        <v>54</v>
      </c>
      <c r="D48" s="260">
        <f>SUM(D49:D58)</f>
        <v>17858039.460000001</v>
      </c>
      <c r="E48" s="260">
        <f t="shared" ref="E48:M48" si="9">SUM(E49:E58)</f>
        <v>17092482.370000001</v>
      </c>
      <c r="F48" s="260">
        <f t="shared" si="9"/>
        <v>13149101.020000001</v>
      </c>
      <c r="G48" s="260">
        <f t="shared" si="9"/>
        <v>9252575.1499999985</v>
      </c>
      <c r="H48" s="260">
        <f t="shared" si="9"/>
        <v>2318308.1800000002</v>
      </c>
      <c r="I48" s="260">
        <f t="shared" si="9"/>
        <v>1405664.3800000001</v>
      </c>
      <c r="J48" s="260">
        <f t="shared" si="9"/>
        <v>172553.31</v>
      </c>
      <c r="K48" s="260">
        <f t="shared" si="9"/>
        <v>0</v>
      </c>
      <c r="L48" s="260">
        <f t="shared" si="9"/>
        <v>0</v>
      </c>
      <c r="M48" s="260">
        <f t="shared" si="9"/>
        <v>3943381.35</v>
      </c>
      <c r="N48" s="342">
        <f t="shared" si="1"/>
        <v>95.713095540444058</v>
      </c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</row>
    <row r="49" spans="1:33">
      <c r="A49" s="540"/>
      <c r="B49" s="208">
        <v>80102</v>
      </c>
      <c r="C49" s="204" t="s">
        <v>41</v>
      </c>
      <c r="D49" s="259">
        <v>1032982</v>
      </c>
      <c r="E49" s="259">
        <v>1032978.02</v>
      </c>
      <c r="F49" s="259">
        <f>E49</f>
        <v>1032978.02</v>
      </c>
      <c r="G49" s="261">
        <f>698294+52123+88715.43+15844.65+650</f>
        <v>855627.08</v>
      </c>
      <c r="H49" s="259">
        <f>F49-G49-J49</f>
        <v>173882.53000000006</v>
      </c>
      <c r="I49" s="259"/>
      <c r="J49" s="259">
        <v>3468.41</v>
      </c>
      <c r="K49" s="259"/>
      <c r="L49" s="259">
        <v>0</v>
      </c>
      <c r="M49" s="259">
        <v>0</v>
      </c>
      <c r="N49" s="342">
        <f t="shared" si="1"/>
        <v>99.999614707710307</v>
      </c>
      <c r="O49" s="29"/>
      <c r="P49" s="29"/>
      <c r="Q49" s="29"/>
      <c r="R49" s="29"/>
      <c r="S49" s="29"/>
      <c r="T49" s="29"/>
      <c r="U49" s="29"/>
      <c r="V49" s="29"/>
      <c r="W49" s="29"/>
      <c r="X49" s="29"/>
      <c r="Y49" s="29"/>
      <c r="Z49" s="29"/>
      <c r="AA49" s="29"/>
      <c r="AB49" s="29"/>
      <c r="AC49" s="29"/>
      <c r="AD49" s="29"/>
      <c r="AE49" s="29"/>
      <c r="AF49" s="29"/>
      <c r="AG49" s="29"/>
    </row>
    <row r="50" spans="1:33">
      <c r="A50" s="541"/>
      <c r="B50" s="208">
        <v>80111</v>
      </c>
      <c r="C50" s="204" t="s">
        <v>112</v>
      </c>
      <c r="D50" s="259">
        <v>2673304.5499999998</v>
      </c>
      <c r="E50" s="259">
        <v>2622533.7200000002</v>
      </c>
      <c r="F50" s="259">
        <f>E50-M50</f>
        <v>1070304.79</v>
      </c>
      <c r="G50" s="261">
        <f>775858+55024.45+130644.81+17934.53</f>
        <v>979461.79</v>
      </c>
      <c r="H50" s="259">
        <f>F50-G50-J50</f>
        <v>61232</v>
      </c>
      <c r="I50" s="259"/>
      <c r="J50" s="259">
        <v>29611</v>
      </c>
      <c r="K50" s="259"/>
      <c r="L50" s="259">
        <v>0</v>
      </c>
      <c r="M50" s="259">
        <f>8454.55+851010.84+692763.54</f>
        <v>1552228.9300000002</v>
      </c>
      <c r="N50" s="342">
        <f t="shared" si="1"/>
        <v>98.100821322434072</v>
      </c>
      <c r="O50" s="29"/>
      <c r="P50" s="29"/>
      <c r="Q50" s="29"/>
      <c r="R50" s="29"/>
      <c r="S50" s="29"/>
      <c r="T50" s="29"/>
      <c r="U50" s="29"/>
      <c r="V50" s="29"/>
      <c r="W50" s="29"/>
      <c r="X50" s="29"/>
      <c r="Y50" s="29"/>
      <c r="Z50" s="29"/>
      <c r="AA50" s="29"/>
      <c r="AB50" s="29"/>
      <c r="AC50" s="29"/>
      <c r="AD50" s="29"/>
      <c r="AE50" s="29"/>
      <c r="AF50" s="29"/>
      <c r="AG50" s="29"/>
    </row>
    <row r="51" spans="1:33">
      <c r="A51" s="541"/>
      <c r="B51" s="208">
        <v>80120</v>
      </c>
      <c r="C51" s="204" t="s">
        <v>47</v>
      </c>
      <c r="D51" s="259">
        <v>5300101.75</v>
      </c>
      <c r="E51" s="259">
        <v>5136993.78</v>
      </c>
      <c r="F51" s="259">
        <f>E51-M51</f>
        <v>4713128.42</v>
      </c>
      <c r="G51" s="259">
        <f>2519047.19+198932.21+432529.05+65495.87+35954.41</f>
        <v>3251958.73</v>
      </c>
      <c r="H51" s="259">
        <f>F51-G51-I51-J51</f>
        <v>807010.1399999999</v>
      </c>
      <c r="I51" s="259">
        <v>575713.12</v>
      </c>
      <c r="J51" s="259">
        <v>78446.429999999993</v>
      </c>
      <c r="K51" s="259"/>
      <c r="L51" s="259">
        <v>0</v>
      </c>
      <c r="M51" s="259">
        <f>8477.44+204707.59+210680.33</f>
        <v>423865.36</v>
      </c>
      <c r="N51" s="342">
        <f t="shared" si="1"/>
        <v>96.922550213304874</v>
      </c>
      <c r="O51" s="29"/>
      <c r="P51" s="29"/>
      <c r="Q51" s="29"/>
      <c r="R51" s="29"/>
      <c r="S51" s="29"/>
      <c r="T51" s="29"/>
      <c r="U51" s="29"/>
      <c r="V51" s="29"/>
      <c r="W51" s="29"/>
      <c r="X51" s="29"/>
      <c r="Y51" s="29"/>
      <c r="Z51" s="29"/>
      <c r="AA51" s="29"/>
      <c r="AB51" s="29"/>
      <c r="AC51" s="29"/>
      <c r="AD51" s="29"/>
      <c r="AE51" s="29"/>
      <c r="AF51" s="29"/>
      <c r="AG51" s="29"/>
    </row>
    <row r="52" spans="1:33">
      <c r="A52" s="541"/>
      <c r="B52" s="208">
        <v>80123</v>
      </c>
      <c r="C52" s="204" t="s">
        <v>42</v>
      </c>
      <c r="D52" s="261">
        <v>329424</v>
      </c>
      <c r="E52" s="261">
        <v>303725.68</v>
      </c>
      <c r="F52" s="261">
        <f>E52</f>
        <v>303725.68</v>
      </c>
      <c r="G52" s="261">
        <f>F52-I52</f>
        <v>6423.140000000014</v>
      </c>
      <c r="H52" s="259"/>
      <c r="I52" s="259">
        <v>297302.53999999998</v>
      </c>
      <c r="J52" s="259"/>
      <c r="K52" s="259"/>
      <c r="L52" s="259">
        <v>0</v>
      </c>
      <c r="M52" s="259">
        <v>0</v>
      </c>
      <c r="N52" s="342">
        <f t="shared" si="1"/>
        <v>92.199014036621492</v>
      </c>
      <c r="O52" s="29"/>
      <c r="P52" s="29"/>
      <c r="Q52" s="29"/>
      <c r="R52" s="29"/>
      <c r="S52" s="29"/>
      <c r="T52" s="29"/>
      <c r="U52" s="29"/>
      <c r="V52" s="29"/>
      <c r="W52" s="29"/>
      <c r="X52" s="29"/>
      <c r="Y52" s="29"/>
      <c r="Z52" s="29"/>
      <c r="AA52" s="29"/>
      <c r="AB52" s="29"/>
      <c r="AC52" s="29"/>
      <c r="AD52" s="29"/>
      <c r="AE52" s="29"/>
      <c r="AF52" s="29"/>
      <c r="AG52" s="29"/>
    </row>
    <row r="53" spans="1:33">
      <c r="A53" s="541"/>
      <c r="B53" s="208">
        <v>80130</v>
      </c>
      <c r="C53" s="204" t="s">
        <v>43</v>
      </c>
      <c r="D53" s="261">
        <v>7710525.9100000001</v>
      </c>
      <c r="E53" s="261">
        <v>7214113.2999999998</v>
      </c>
      <c r="F53" s="261">
        <f>E53-M53</f>
        <v>5246826.24</v>
      </c>
      <c r="G53" s="261">
        <f>3177072.26+221194.74+505988.38+73821.62+11558.32</f>
        <v>3989635.32</v>
      </c>
      <c r="H53" s="259">
        <f>F53-G53-I53-J53</f>
        <v>886325.0500000004</v>
      </c>
      <c r="I53" s="259">
        <v>311788.40000000002</v>
      </c>
      <c r="J53" s="259">
        <f>53401.47+2580+3096</f>
        <v>59077.47</v>
      </c>
      <c r="K53" s="259"/>
      <c r="L53" s="259">
        <v>0</v>
      </c>
      <c r="M53" s="259">
        <f>285186.29+801099.54+881001.23</f>
        <v>1967287.06</v>
      </c>
      <c r="N53" s="342">
        <f t="shared" si="1"/>
        <v>93.561883900082748</v>
      </c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</row>
    <row r="54" spans="1:33" ht="22.5">
      <c r="A54" s="541"/>
      <c r="B54" s="208">
        <v>80140</v>
      </c>
      <c r="C54" s="204" t="s">
        <v>188</v>
      </c>
      <c r="D54" s="261">
        <v>242238</v>
      </c>
      <c r="E54" s="261">
        <v>242235.06</v>
      </c>
      <c r="F54" s="261">
        <f>E54</f>
        <v>242235.06</v>
      </c>
      <c r="G54" s="261">
        <f>35497.25+2509.91+11255.83+1816.1+35560</f>
        <v>86639.09</v>
      </c>
      <c r="H54" s="259">
        <f>F54-G54-J54</f>
        <v>155395.97</v>
      </c>
      <c r="I54" s="259"/>
      <c r="J54" s="259">
        <v>200</v>
      </c>
      <c r="K54" s="259"/>
      <c r="L54" s="259">
        <v>0</v>
      </c>
      <c r="M54" s="259">
        <v>0</v>
      </c>
      <c r="N54" s="342">
        <f t="shared" si="1"/>
        <v>99.998786317588483</v>
      </c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29"/>
      <c r="AD54" s="29"/>
      <c r="AE54" s="29"/>
      <c r="AF54" s="29"/>
      <c r="AG54" s="29"/>
    </row>
    <row r="55" spans="1:33" ht="22.5">
      <c r="A55" s="541"/>
      <c r="B55" s="208">
        <v>80144</v>
      </c>
      <c r="C55" s="204" t="s">
        <v>240</v>
      </c>
      <c r="D55" s="261">
        <v>230000</v>
      </c>
      <c r="E55" s="261">
        <v>220860.32</v>
      </c>
      <c r="F55" s="261">
        <f>E55</f>
        <v>220860.32</v>
      </c>
      <c r="G55" s="261"/>
      <c r="H55" s="259"/>
      <c r="I55" s="259">
        <v>220860.32</v>
      </c>
      <c r="J55" s="259"/>
      <c r="K55" s="259"/>
      <c r="L55" s="259"/>
      <c r="M55" s="259"/>
      <c r="N55" s="342">
        <f t="shared" si="1"/>
        <v>96.026226086956527</v>
      </c>
      <c r="O55" s="29"/>
      <c r="P55" s="29"/>
      <c r="Q55" s="29"/>
      <c r="R55" s="29"/>
      <c r="S55" s="29"/>
      <c r="T55" s="29"/>
      <c r="U55" s="29"/>
      <c r="V55" s="29"/>
      <c r="W55" s="29"/>
      <c r="X55" s="29"/>
      <c r="Y55" s="29"/>
      <c r="Z55" s="29"/>
      <c r="AA55" s="29"/>
      <c r="AB55" s="29"/>
      <c r="AC55" s="29"/>
      <c r="AD55" s="29"/>
      <c r="AE55" s="29"/>
      <c r="AF55" s="29"/>
      <c r="AG55" s="29"/>
    </row>
    <row r="56" spans="1:33" ht="12.75" customHeight="1">
      <c r="A56" s="541"/>
      <c r="B56" s="208">
        <v>80146</v>
      </c>
      <c r="C56" s="204" t="s">
        <v>85</v>
      </c>
      <c r="D56" s="259">
        <v>58334</v>
      </c>
      <c r="E56" s="259">
        <v>54703.6</v>
      </c>
      <c r="F56" s="259">
        <f>E56</f>
        <v>54703.6</v>
      </c>
      <c r="G56" s="259"/>
      <c r="H56" s="259">
        <f>F56-J56</f>
        <v>52953.599999999999</v>
      </c>
      <c r="I56" s="259"/>
      <c r="J56" s="259">
        <v>1750</v>
      </c>
      <c r="K56" s="259"/>
      <c r="L56" s="259">
        <v>0</v>
      </c>
      <c r="M56" s="259">
        <v>0</v>
      </c>
      <c r="N56" s="342">
        <f t="shared" si="1"/>
        <v>93.776528268248356</v>
      </c>
      <c r="O56" s="29"/>
      <c r="P56" s="29"/>
      <c r="Q56" s="29"/>
      <c r="R56" s="29"/>
      <c r="S56" s="29"/>
      <c r="T56" s="29"/>
      <c r="U56" s="29"/>
      <c r="V56" s="29"/>
      <c r="W56" s="29"/>
      <c r="X56" s="29"/>
      <c r="Y56" s="29"/>
      <c r="Z56" s="29"/>
      <c r="AA56" s="29"/>
      <c r="AB56" s="29"/>
      <c r="AC56" s="29"/>
      <c r="AD56" s="29"/>
      <c r="AE56" s="29"/>
      <c r="AF56" s="29"/>
      <c r="AG56" s="29"/>
    </row>
    <row r="57" spans="1:33" ht="12.75" customHeight="1">
      <c r="A57" s="541"/>
      <c r="B57" s="208">
        <v>80148</v>
      </c>
      <c r="C57" s="204" t="s">
        <v>189</v>
      </c>
      <c r="D57" s="259">
        <v>260428</v>
      </c>
      <c r="E57" s="259">
        <v>260427.89</v>
      </c>
      <c r="F57" s="259">
        <f>E57</f>
        <v>260427.89</v>
      </c>
      <c r="G57" s="259">
        <f>62106+4158+11832+1494</f>
        <v>79590</v>
      </c>
      <c r="H57" s="259">
        <f>F57-G57</f>
        <v>180837.89</v>
      </c>
      <c r="I57" s="259"/>
      <c r="J57" s="259"/>
      <c r="K57" s="259"/>
      <c r="L57" s="259">
        <v>0</v>
      </c>
      <c r="M57" s="259">
        <v>0</v>
      </c>
      <c r="N57" s="342">
        <f t="shared" si="1"/>
        <v>99.999957761838203</v>
      </c>
      <c r="O57" s="29"/>
      <c r="P57" s="29"/>
      <c r="Q57" s="29"/>
      <c r="R57" s="29"/>
      <c r="S57" s="29"/>
      <c r="T57" s="29"/>
      <c r="U57" s="29"/>
      <c r="V57" s="29"/>
      <c r="W57" s="29"/>
      <c r="X57" s="29"/>
      <c r="Y57" s="29"/>
      <c r="Z57" s="29"/>
      <c r="AA57" s="29"/>
      <c r="AB57" s="29"/>
      <c r="AC57" s="29"/>
      <c r="AD57" s="29"/>
      <c r="AE57" s="29"/>
      <c r="AF57" s="29"/>
      <c r="AG57" s="29"/>
    </row>
    <row r="58" spans="1:33" ht="12.75" customHeight="1">
      <c r="A58" s="542"/>
      <c r="B58" s="208">
        <v>80195</v>
      </c>
      <c r="C58" s="204" t="s">
        <v>74</v>
      </c>
      <c r="D58" s="259">
        <v>20701.25</v>
      </c>
      <c r="E58" s="259">
        <v>3911</v>
      </c>
      <c r="F58" s="259">
        <f>E58</f>
        <v>3911</v>
      </c>
      <c r="G58" s="259">
        <v>3240</v>
      </c>
      <c r="H58" s="259">
        <v>671</v>
      </c>
      <c r="I58" s="259"/>
      <c r="J58" s="259"/>
      <c r="K58" s="259"/>
      <c r="L58" s="259"/>
      <c r="M58" s="259"/>
      <c r="N58" s="342">
        <f t="shared" si="1"/>
        <v>18.892578950546465</v>
      </c>
      <c r="O58" s="29"/>
      <c r="P58" s="29"/>
      <c r="Q58" s="29"/>
      <c r="R58" s="29"/>
      <c r="S58" s="29"/>
      <c r="T58" s="29"/>
      <c r="U58" s="29"/>
      <c r="V58" s="29"/>
      <c r="W58" s="29"/>
      <c r="X58" s="29"/>
      <c r="Y58" s="29"/>
      <c r="Z58" s="29"/>
      <c r="AA58" s="29"/>
      <c r="AB58" s="29"/>
      <c r="AC58" s="29"/>
      <c r="AD58" s="29"/>
      <c r="AE58" s="29"/>
      <c r="AF58" s="29"/>
      <c r="AG58" s="29"/>
    </row>
    <row r="59" spans="1:33" s="4" customFormat="1" ht="13.5" customHeight="1">
      <c r="A59" s="222">
        <v>851</v>
      </c>
      <c r="B59" s="222"/>
      <c r="C59" s="218" t="s">
        <v>34</v>
      </c>
      <c r="D59" s="260">
        <f>D60+D61+D62</f>
        <v>2998212</v>
      </c>
      <c r="E59" s="260">
        <f t="shared" ref="E59:M59" si="10">E60+E61+E62</f>
        <v>2577078.42</v>
      </c>
      <c r="F59" s="260">
        <f t="shared" si="10"/>
        <v>2210952.13</v>
      </c>
      <c r="G59" s="260">
        <f t="shared" si="10"/>
        <v>623.12</v>
      </c>
      <c r="H59" s="260">
        <f t="shared" si="10"/>
        <v>2185329.0099999998</v>
      </c>
      <c r="I59" s="260">
        <f t="shared" si="10"/>
        <v>25000</v>
      </c>
      <c r="J59" s="260">
        <f t="shared" si="10"/>
        <v>0</v>
      </c>
      <c r="K59" s="260">
        <f t="shared" si="10"/>
        <v>0</v>
      </c>
      <c r="L59" s="260">
        <f t="shared" si="10"/>
        <v>0</v>
      </c>
      <c r="M59" s="260">
        <f t="shared" si="10"/>
        <v>366126.29</v>
      </c>
      <c r="N59" s="342">
        <f t="shared" si="1"/>
        <v>85.953842490124117</v>
      </c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</row>
    <row r="60" spans="1:33" s="4" customFormat="1" ht="13.5" customHeight="1">
      <c r="A60" s="611"/>
      <c r="B60" s="224">
        <v>85111</v>
      </c>
      <c r="C60" s="220" t="s">
        <v>86</v>
      </c>
      <c r="D60" s="262">
        <v>695418</v>
      </c>
      <c r="E60" s="262">
        <v>401572.29</v>
      </c>
      <c r="F60" s="259">
        <f>E60-M60</f>
        <v>35446</v>
      </c>
      <c r="G60" s="259">
        <v>0</v>
      </c>
      <c r="H60" s="259">
        <f>F60-I60</f>
        <v>10446</v>
      </c>
      <c r="I60" s="259">
        <v>25000</v>
      </c>
      <c r="J60" s="259"/>
      <c r="K60" s="259"/>
      <c r="L60" s="259">
        <v>0</v>
      </c>
      <c r="M60" s="262">
        <f>321184+44942.29</f>
        <v>366126.29</v>
      </c>
      <c r="N60" s="342">
        <f t="shared" si="1"/>
        <v>57.74545525137399</v>
      </c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</row>
    <row r="61" spans="1:33">
      <c r="A61" s="612"/>
      <c r="B61" s="208">
        <v>85156</v>
      </c>
      <c r="C61" s="221" t="s">
        <v>88</v>
      </c>
      <c r="D61" s="259">
        <v>2302000</v>
      </c>
      <c r="E61" s="259">
        <v>2174883.0099999998</v>
      </c>
      <c r="F61" s="259">
        <f>E61</f>
        <v>2174883.0099999998</v>
      </c>
      <c r="G61" s="259">
        <v>0</v>
      </c>
      <c r="H61" s="259">
        <f>F61</f>
        <v>2174883.0099999998</v>
      </c>
      <c r="I61" s="259">
        <v>0</v>
      </c>
      <c r="J61" s="259"/>
      <c r="K61" s="259"/>
      <c r="L61" s="259">
        <v>0</v>
      </c>
      <c r="M61" s="259">
        <v>0</v>
      </c>
      <c r="N61" s="342">
        <f t="shared" si="1"/>
        <v>94.477976107732403</v>
      </c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</row>
    <row r="62" spans="1:33">
      <c r="A62" s="613"/>
      <c r="B62" s="249">
        <v>85195</v>
      </c>
      <c r="C62" s="219" t="s">
        <v>74</v>
      </c>
      <c r="D62" s="259">
        <v>794</v>
      </c>
      <c r="E62" s="259">
        <v>623.12</v>
      </c>
      <c r="F62" s="259">
        <v>623.12</v>
      </c>
      <c r="G62" s="259">
        <v>623.12</v>
      </c>
      <c r="H62" s="259"/>
      <c r="I62" s="259"/>
      <c r="J62" s="259"/>
      <c r="K62" s="259"/>
      <c r="L62" s="259"/>
      <c r="M62" s="259"/>
      <c r="N62" s="342">
        <f t="shared" si="1"/>
        <v>78.478589420654913</v>
      </c>
      <c r="O62" s="29"/>
      <c r="P62" s="29"/>
      <c r="Q62" s="29"/>
      <c r="R62" s="29"/>
      <c r="S62" s="29"/>
      <c r="T62" s="29"/>
      <c r="U62" s="29"/>
      <c r="V62" s="29"/>
      <c r="W62" s="29"/>
      <c r="X62" s="29"/>
      <c r="Y62" s="29"/>
      <c r="Z62" s="29"/>
      <c r="AA62" s="29"/>
      <c r="AB62" s="29"/>
      <c r="AC62" s="29"/>
      <c r="AD62" s="29"/>
      <c r="AE62" s="29"/>
      <c r="AF62" s="29"/>
      <c r="AG62" s="29"/>
    </row>
    <row r="63" spans="1:33" s="4" customFormat="1">
      <c r="A63" s="222">
        <v>852</v>
      </c>
      <c r="B63" s="222"/>
      <c r="C63" s="216" t="s">
        <v>35</v>
      </c>
      <c r="D63" s="260">
        <f>SUM(D64:D72)</f>
        <v>9537352.7400000002</v>
      </c>
      <c r="E63" s="260">
        <f t="shared" ref="E63:M63" si="11">SUM(E64:E72)</f>
        <v>9233894.0999999996</v>
      </c>
      <c r="F63" s="260">
        <f t="shared" si="11"/>
        <v>9233793.1300000008</v>
      </c>
      <c r="G63" s="260">
        <f t="shared" si="11"/>
        <v>2513227.5699999998</v>
      </c>
      <c r="H63" s="260">
        <f t="shared" si="11"/>
        <v>1133016.5499999991</v>
      </c>
      <c r="I63" s="260">
        <f t="shared" si="11"/>
        <v>4177405.2</v>
      </c>
      <c r="J63" s="260">
        <f t="shared" si="11"/>
        <v>1410143.8100000003</v>
      </c>
      <c r="K63" s="260">
        <f t="shared" si="11"/>
        <v>0</v>
      </c>
      <c r="L63" s="260">
        <f t="shared" si="11"/>
        <v>0</v>
      </c>
      <c r="M63" s="260">
        <f t="shared" si="11"/>
        <v>100.97</v>
      </c>
      <c r="N63" s="342">
        <f t="shared" si="1"/>
        <v>96.818208906887932</v>
      </c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</row>
    <row r="64" spans="1:33" s="5" customFormat="1" ht="12.75" customHeight="1">
      <c r="A64" s="540"/>
      <c r="B64" s="208">
        <v>85201</v>
      </c>
      <c r="C64" s="204" t="s">
        <v>89</v>
      </c>
      <c r="D64" s="259">
        <v>4470967.82</v>
      </c>
      <c r="E64" s="259">
        <v>4404575.51</v>
      </c>
      <c r="F64" s="259">
        <f>E64</f>
        <v>4404575.51</v>
      </c>
      <c r="G64" s="259">
        <f>1037741.96+69425.87+160660.53+23722.56+27450.4</f>
        <v>1319001.32</v>
      </c>
      <c r="H64" s="259">
        <f>F64-G64-I64-J64</f>
        <v>685002.78999999922</v>
      </c>
      <c r="I64" s="259">
        <f>95439.37+186008.12+1947955.54</f>
        <v>2229403.0300000003</v>
      </c>
      <c r="J64" s="259">
        <f>1445.67+169722.7</f>
        <v>171168.37000000002</v>
      </c>
      <c r="K64" s="259"/>
      <c r="L64" s="259">
        <v>0</v>
      </c>
      <c r="M64" s="259">
        <v>0</v>
      </c>
      <c r="N64" s="342">
        <f t="shared" si="1"/>
        <v>98.515034939347871</v>
      </c>
      <c r="O64" s="32"/>
      <c r="P64" s="32"/>
      <c r="Q64" s="32"/>
      <c r="R64" s="32"/>
      <c r="S64" s="32"/>
      <c r="T64" s="32"/>
      <c r="U64" s="32"/>
      <c r="V64" s="32"/>
      <c r="W64" s="32"/>
      <c r="X64" s="32"/>
      <c r="Y64" s="32"/>
      <c r="Z64" s="32"/>
      <c r="AA64" s="32"/>
      <c r="AB64" s="32"/>
      <c r="AC64" s="32"/>
      <c r="AD64" s="32"/>
      <c r="AE64" s="32"/>
      <c r="AF64" s="32"/>
      <c r="AG64" s="32"/>
    </row>
    <row r="65" spans="1:33" s="5" customFormat="1">
      <c r="A65" s="541"/>
      <c r="B65" s="208">
        <v>85202</v>
      </c>
      <c r="C65" s="204" t="s">
        <v>90</v>
      </c>
      <c r="D65" s="259">
        <v>1859624</v>
      </c>
      <c r="E65" s="259">
        <v>1794724.97</v>
      </c>
      <c r="F65" s="259">
        <f>E65-M65</f>
        <v>1794624</v>
      </c>
      <c r="G65" s="259"/>
      <c r="H65" s="259"/>
      <c r="I65" s="259">
        <v>1794624</v>
      </c>
      <c r="J65" s="259"/>
      <c r="K65" s="259"/>
      <c r="L65" s="259">
        <v>0</v>
      </c>
      <c r="M65" s="259">
        <v>100.97</v>
      </c>
      <c r="N65" s="342">
        <f t="shared" si="1"/>
        <v>96.510099353417672</v>
      </c>
      <c r="O65" s="32"/>
      <c r="P65" s="32"/>
      <c r="Q65" s="32"/>
      <c r="R65" s="32"/>
      <c r="S65" s="32"/>
      <c r="T65" s="32"/>
      <c r="U65" s="32"/>
      <c r="V65" s="32"/>
      <c r="W65" s="32"/>
      <c r="X65" s="32"/>
      <c r="Y65" s="32"/>
      <c r="Z65" s="32"/>
      <c r="AA65" s="32"/>
      <c r="AB65" s="32"/>
      <c r="AC65" s="32"/>
      <c r="AD65" s="32"/>
      <c r="AE65" s="32"/>
      <c r="AF65" s="32"/>
      <c r="AG65" s="32"/>
    </row>
    <row r="66" spans="1:33">
      <c r="A66" s="541"/>
      <c r="B66" s="208">
        <v>85203</v>
      </c>
      <c r="C66" s="204" t="s">
        <v>91</v>
      </c>
      <c r="D66" s="259">
        <v>403180</v>
      </c>
      <c r="E66" s="259">
        <v>403164.76</v>
      </c>
      <c r="F66" s="261">
        <f t="shared" ref="F66:F72" si="12">E66</f>
        <v>403164.76</v>
      </c>
      <c r="G66" s="261">
        <f>236913.7+16704.52+38623.66+5606.26+16820</f>
        <v>314668.14</v>
      </c>
      <c r="H66" s="259">
        <f>F66-G66-J66</f>
        <v>88255.4</v>
      </c>
      <c r="I66" s="259"/>
      <c r="J66" s="259">
        <v>241.22</v>
      </c>
      <c r="K66" s="259"/>
      <c r="L66" s="259">
        <v>0</v>
      </c>
      <c r="M66" s="259">
        <v>0</v>
      </c>
      <c r="N66" s="342">
        <f t="shared" si="1"/>
        <v>99.996220050597756</v>
      </c>
      <c r="O66" s="29"/>
      <c r="P66" s="29"/>
      <c r="Q66" s="29"/>
      <c r="R66" s="29"/>
      <c r="S66" s="29"/>
      <c r="T66" s="29"/>
      <c r="U66" s="29"/>
      <c r="V66" s="29"/>
      <c r="W66" s="29"/>
      <c r="X66" s="29"/>
      <c r="Y66" s="29"/>
      <c r="Z66" s="29"/>
      <c r="AA66" s="29"/>
      <c r="AB66" s="29"/>
      <c r="AC66" s="29"/>
      <c r="AD66" s="29"/>
      <c r="AE66" s="29"/>
      <c r="AF66" s="29"/>
      <c r="AG66" s="29"/>
    </row>
    <row r="67" spans="1:33">
      <c r="A67" s="541"/>
      <c r="B67" s="208">
        <v>85204</v>
      </c>
      <c r="C67" s="204" t="s">
        <v>114</v>
      </c>
      <c r="D67" s="259">
        <v>1720437.92</v>
      </c>
      <c r="E67" s="259">
        <v>1549787.91</v>
      </c>
      <c r="F67" s="259">
        <f t="shared" si="12"/>
        <v>1549787.91</v>
      </c>
      <c r="G67" s="261">
        <f>F67-I67-J67</f>
        <v>157860.1399999999</v>
      </c>
      <c r="H67" s="259">
        <v>0</v>
      </c>
      <c r="I67" s="259">
        <v>153378.17000000001</v>
      </c>
      <c r="J67" s="259">
        <v>1238549.6000000001</v>
      </c>
      <c r="K67" s="259"/>
      <c r="L67" s="259">
        <v>0</v>
      </c>
      <c r="M67" s="259">
        <v>0</v>
      </c>
      <c r="N67" s="342">
        <f t="shared" si="1"/>
        <v>90.081013210869003</v>
      </c>
      <c r="O67" s="29"/>
      <c r="P67" s="29"/>
      <c r="Q67" s="29"/>
      <c r="R67" s="29"/>
      <c r="S67" s="29"/>
      <c r="T67" s="29"/>
      <c r="U67" s="29"/>
      <c r="V67" s="29"/>
      <c r="W67" s="29"/>
      <c r="X67" s="29"/>
      <c r="Y67" s="29"/>
      <c r="Z67" s="29"/>
      <c r="AA67" s="29"/>
      <c r="AB67" s="29"/>
      <c r="AC67" s="29"/>
      <c r="AD67" s="29"/>
      <c r="AE67" s="29"/>
      <c r="AF67" s="29"/>
      <c r="AG67" s="29"/>
    </row>
    <row r="68" spans="1:33" ht="22.5">
      <c r="A68" s="541"/>
      <c r="B68" s="208">
        <v>85205</v>
      </c>
      <c r="C68" s="204" t="s">
        <v>257</v>
      </c>
      <c r="D68" s="259">
        <v>322500</v>
      </c>
      <c r="E68" s="259">
        <v>322297.83</v>
      </c>
      <c r="F68" s="259">
        <f t="shared" si="12"/>
        <v>322297.83</v>
      </c>
      <c r="G68" s="259">
        <f>151904.28+11431.72+26037.5+4172.1+26764</f>
        <v>220309.6</v>
      </c>
      <c r="H68" s="259">
        <f>F68-G68-J68</f>
        <v>101955.21</v>
      </c>
      <c r="I68" s="259"/>
      <c r="J68" s="259">
        <v>33.020000000000003</v>
      </c>
      <c r="K68" s="259"/>
      <c r="L68" s="259">
        <v>0</v>
      </c>
      <c r="M68" s="259">
        <v>0</v>
      </c>
      <c r="N68" s="342">
        <f t="shared" si="1"/>
        <v>99.937311627906979</v>
      </c>
      <c r="O68" s="29"/>
      <c r="P68" s="29"/>
      <c r="Q68" s="29"/>
      <c r="R68" s="29"/>
      <c r="S68" s="29"/>
      <c r="T68" s="29"/>
      <c r="U68" s="29"/>
      <c r="V68" s="29"/>
      <c r="W68" s="29"/>
      <c r="X68" s="29"/>
      <c r="Y68" s="29"/>
      <c r="Z68" s="29"/>
      <c r="AA68" s="29"/>
      <c r="AB68" s="29"/>
      <c r="AC68" s="29"/>
      <c r="AD68" s="29"/>
      <c r="AE68" s="29"/>
      <c r="AF68" s="29"/>
      <c r="AG68" s="29"/>
    </row>
    <row r="69" spans="1:33" ht="12.75" customHeight="1">
      <c r="A69" s="541"/>
      <c r="B69" s="208">
        <v>85218</v>
      </c>
      <c r="C69" s="204" t="s">
        <v>93</v>
      </c>
      <c r="D69" s="259">
        <v>605989</v>
      </c>
      <c r="E69" s="259">
        <v>605837.48</v>
      </c>
      <c r="F69" s="259">
        <f t="shared" si="12"/>
        <v>605837.48</v>
      </c>
      <c r="G69" s="261">
        <f>303893.56+17584.41+45019.01+7078.56+4450</f>
        <v>378025.54</v>
      </c>
      <c r="H69" s="259">
        <f>F69-G69-J69</f>
        <v>227660.34</v>
      </c>
      <c r="I69" s="259"/>
      <c r="J69" s="259">
        <v>151.6</v>
      </c>
      <c r="K69" s="259"/>
      <c r="L69" s="259">
        <v>0</v>
      </c>
      <c r="M69" s="259">
        <v>0</v>
      </c>
      <c r="N69" s="342">
        <f t="shared" si="1"/>
        <v>99.974996245806437</v>
      </c>
      <c r="O69" s="29"/>
      <c r="P69" s="29"/>
      <c r="Q69" s="29"/>
      <c r="R69" s="29"/>
      <c r="S69" s="29"/>
      <c r="T69" s="29"/>
      <c r="U69" s="29"/>
      <c r="V69" s="29"/>
      <c r="W69" s="29"/>
      <c r="X69" s="29"/>
      <c r="Y69" s="29"/>
      <c r="Z69" s="29"/>
      <c r="AA69" s="29"/>
      <c r="AB69" s="29"/>
      <c r="AC69" s="29"/>
      <c r="AD69" s="29"/>
      <c r="AE69" s="29"/>
      <c r="AF69" s="29"/>
      <c r="AG69" s="29"/>
    </row>
    <row r="70" spans="1:33" ht="12.75" customHeight="1">
      <c r="A70" s="541"/>
      <c r="B70" s="208">
        <v>85226</v>
      </c>
      <c r="C70" s="204" t="s">
        <v>236</v>
      </c>
      <c r="D70" s="259">
        <v>150082</v>
      </c>
      <c r="E70" s="259">
        <v>150075.47</v>
      </c>
      <c r="F70" s="259">
        <f t="shared" si="12"/>
        <v>150075.47</v>
      </c>
      <c r="G70" s="261">
        <f>96717.71+9518.27+14761.55+2365.3</f>
        <v>123362.83000000002</v>
      </c>
      <c r="H70" s="259">
        <f>F70-G70</f>
        <v>26712.639999999985</v>
      </c>
      <c r="I70" s="259"/>
      <c r="J70" s="259"/>
      <c r="K70" s="259"/>
      <c r="L70" s="259"/>
      <c r="M70" s="259"/>
      <c r="N70" s="342">
        <f t="shared" si="1"/>
        <v>99.995649045188628</v>
      </c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</row>
    <row r="71" spans="1:33" ht="12.75" customHeight="1">
      <c r="A71" s="541"/>
      <c r="B71" s="208">
        <v>85233</v>
      </c>
      <c r="C71" s="204" t="s">
        <v>85</v>
      </c>
      <c r="D71" s="259">
        <v>3352</v>
      </c>
      <c r="E71" s="259">
        <v>2210.17</v>
      </c>
      <c r="F71" s="259">
        <f t="shared" si="12"/>
        <v>2210.17</v>
      </c>
      <c r="G71" s="259"/>
      <c r="H71" s="259">
        <f>F71</f>
        <v>2210.17</v>
      </c>
      <c r="I71" s="259"/>
      <c r="J71" s="259"/>
      <c r="K71" s="259"/>
      <c r="L71" s="259">
        <v>0</v>
      </c>
      <c r="M71" s="259">
        <v>0</v>
      </c>
      <c r="N71" s="342">
        <f t="shared" si="1"/>
        <v>65.935859188544157</v>
      </c>
      <c r="O71" s="29"/>
      <c r="P71" s="29"/>
      <c r="Q71" s="29"/>
      <c r="R71" s="29"/>
      <c r="S71" s="29"/>
      <c r="T71" s="29"/>
      <c r="U71" s="29"/>
      <c r="V71" s="29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</row>
    <row r="72" spans="1:33" ht="12.75" customHeight="1">
      <c r="A72" s="542"/>
      <c r="B72" s="249">
        <v>85295</v>
      </c>
      <c r="C72" s="219" t="s">
        <v>74</v>
      </c>
      <c r="D72" s="259">
        <v>1220</v>
      </c>
      <c r="E72" s="259">
        <v>1220</v>
      </c>
      <c r="F72" s="259">
        <f t="shared" si="12"/>
        <v>1220</v>
      </c>
      <c r="G72" s="259"/>
      <c r="H72" s="259">
        <v>1220</v>
      </c>
      <c r="I72" s="259"/>
      <c r="J72" s="259"/>
      <c r="K72" s="259"/>
      <c r="L72" s="259"/>
      <c r="M72" s="259"/>
      <c r="N72" s="342">
        <f t="shared" si="1"/>
        <v>100</v>
      </c>
      <c r="O72" s="29"/>
      <c r="P72" s="29"/>
      <c r="Q72" s="29"/>
      <c r="R72" s="29"/>
      <c r="S72" s="29"/>
      <c r="T72" s="29"/>
      <c r="U72" s="29"/>
      <c r="V72" s="29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</row>
    <row r="73" spans="1:33" s="4" customFormat="1" ht="21">
      <c r="A73" s="222">
        <v>853</v>
      </c>
      <c r="B73" s="222"/>
      <c r="C73" s="216" t="s">
        <v>36</v>
      </c>
      <c r="D73" s="260">
        <f>D75+D76+D77+D78+D74</f>
        <v>3952444.54</v>
      </c>
      <c r="E73" s="260">
        <f t="shared" ref="E73:M73" si="13">E75+E76+E77+E78+E74</f>
        <v>3899904.83</v>
      </c>
      <c r="F73" s="260">
        <f t="shared" si="13"/>
        <v>3522889.2</v>
      </c>
      <c r="G73" s="260">
        <f t="shared" si="13"/>
        <v>1873671.03</v>
      </c>
      <c r="H73" s="260">
        <f t="shared" si="13"/>
        <v>204467.92999999982</v>
      </c>
      <c r="I73" s="260">
        <f t="shared" si="13"/>
        <v>105784</v>
      </c>
      <c r="J73" s="260">
        <f t="shared" si="13"/>
        <v>45740.81</v>
      </c>
      <c r="K73" s="260">
        <f t="shared" si="13"/>
        <v>1293225.4300000002</v>
      </c>
      <c r="L73" s="260">
        <f t="shared" si="13"/>
        <v>0</v>
      </c>
      <c r="M73" s="260">
        <f t="shared" si="13"/>
        <v>377015.63</v>
      </c>
      <c r="N73" s="342">
        <f t="shared" si="1"/>
        <v>98.67070342244449</v>
      </c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</row>
    <row r="74" spans="1:33" s="5" customFormat="1" ht="22.5">
      <c r="A74" s="547"/>
      <c r="B74" s="208">
        <v>85311</v>
      </c>
      <c r="C74" s="171" t="s">
        <v>156</v>
      </c>
      <c r="D74" s="259">
        <v>105784</v>
      </c>
      <c r="E74" s="259">
        <v>105784</v>
      </c>
      <c r="F74" s="259">
        <f>E74</f>
        <v>105784</v>
      </c>
      <c r="G74" s="259"/>
      <c r="H74" s="259"/>
      <c r="I74" s="259">
        <f>43520+62264</f>
        <v>105784</v>
      </c>
      <c r="J74" s="259"/>
      <c r="K74" s="259"/>
      <c r="L74" s="259">
        <v>0</v>
      </c>
      <c r="M74" s="259">
        <v>0</v>
      </c>
      <c r="N74" s="342">
        <f t="shared" si="1"/>
        <v>100</v>
      </c>
      <c r="O74" s="32"/>
      <c r="P74" s="32"/>
      <c r="Q74" s="32"/>
      <c r="R74" s="32"/>
      <c r="S74" s="32"/>
      <c r="T74" s="32"/>
      <c r="U74" s="32"/>
      <c r="V74" s="32"/>
      <c r="W74" s="32"/>
      <c r="X74" s="32"/>
      <c r="Y74" s="32"/>
      <c r="Z74" s="32"/>
      <c r="AA74" s="32"/>
      <c r="AB74" s="32"/>
      <c r="AC74" s="32"/>
      <c r="AD74" s="32"/>
      <c r="AE74" s="32"/>
      <c r="AF74" s="32"/>
      <c r="AG74" s="32"/>
    </row>
    <row r="75" spans="1:33" ht="12" customHeight="1">
      <c r="A75" s="547"/>
      <c r="B75" s="208">
        <v>85321</v>
      </c>
      <c r="C75" s="204" t="s">
        <v>117</v>
      </c>
      <c r="D75" s="259">
        <v>86000</v>
      </c>
      <c r="E75" s="259">
        <v>85957.75</v>
      </c>
      <c r="F75" s="259">
        <f>E75</f>
        <v>85957.75</v>
      </c>
      <c r="G75" s="259">
        <f>34796+1932.84+5965.85+941.54+14029</f>
        <v>57665.229999999996</v>
      </c>
      <c r="H75" s="259">
        <f>F75-G75</f>
        <v>28292.520000000004</v>
      </c>
      <c r="I75" s="259"/>
      <c r="J75" s="259"/>
      <c r="K75" s="259"/>
      <c r="L75" s="259">
        <v>0</v>
      </c>
      <c r="M75" s="259">
        <v>0</v>
      </c>
      <c r="N75" s="342">
        <f t="shared" si="1"/>
        <v>99.950872093023264</v>
      </c>
      <c r="O75" s="29"/>
      <c r="P75" s="29"/>
      <c r="Q75" s="29"/>
      <c r="R75" s="29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</row>
    <row r="76" spans="1:33" ht="14.25" customHeight="1">
      <c r="A76" s="547"/>
      <c r="B76" s="208">
        <v>85333</v>
      </c>
      <c r="C76" s="204" t="s">
        <v>95</v>
      </c>
      <c r="D76" s="259">
        <v>2344797</v>
      </c>
      <c r="E76" s="259">
        <v>2326808.0499999998</v>
      </c>
      <c r="F76" s="259">
        <f>E76-M76</f>
        <v>1949792.42</v>
      </c>
      <c r="G76" s="259">
        <f>1388721.38+98529.11+227494.85+32150+28271.3</f>
        <v>1775166.6400000001</v>
      </c>
      <c r="H76" s="259">
        <f>F76-G76-J76</f>
        <v>173905.7799999998</v>
      </c>
      <c r="I76" s="259"/>
      <c r="J76" s="259">
        <v>720</v>
      </c>
      <c r="K76" s="259"/>
      <c r="L76" s="259">
        <v>0</v>
      </c>
      <c r="M76" s="259">
        <f>183041.22+193974.41</f>
        <v>377015.63</v>
      </c>
      <c r="N76" s="342">
        <f t="shared" si="1"/>
        <v>99.232814183914414</v>
      </c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</row>
    <row r="77" spans="1:33" ht="14.25" customHeight="1">
      <c r="A77" s="547"/>
      <c r="B77" s="208">
        <v>85334</v>
      </c>
      <c r="C77" s="219" t="s">
        <v>126</v>
      </c>
      <c r="D77" s="259">
        <v>46147</v>
      </c>
      <c r="E77" s="259">
        <v>45020.81</v>
      </c>
      <c r="F77" s="259">
        <f>E77</f>
        <v>45020.81</v>
      </c>
      <c r="G77" s="259"/>
      <c r="H77" s="259"/>
      <c r="I77" s="259"/>
      <c r="J77" s="259">
        <v>45020.81</v>
      </c>
      <c r="K77" s="259"/>
      <c r="L77" s="259">
        <v>0</v>
      </c>
      <c r="M77" s="259">
        <v>0</v>
      </c>
      <c r="N77" s="342">
        <f t="shared" si="1"/>
        <v>97.559559668017414</v>
      </c>
      <c r="O77" s="29"/>
      <c r="P77" s="29"/>
      <c r="Q77" s="29"/>
      <c r="R77" s="29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29"/>
    </row>
    <row r="78" spans="1:33" ht="14.25" customHeight="1">
      <c r="A78" s="547"/>
      <c r="B78" s="208">
        <v>85395</v>
      </c>
      <c r="C78" s="219" t="s">
        <v>74</v>
      </c>
      <c r="D78" s="262">
        <v>1369716.54</v>
      </c>
      <c r="E78" s="262">
        <v>1336334.22</v>
      </c>
      <c r="F78" s="262">
        <f>E78</f>
        <v>1336334.22</v>
      </c>
      <c r="G78" s="262">
        <f>21981.2+3185.5+5224.76+847.7+9600</f>
        <v>40839.160000000003</v>
      </c>
      <c r="H78" s="262">
        <f>43108.79-G78</f>
        <v>2269.6299999999974</v>
      </c>
      <c r="I78" s="262"/>
      <c r="J78" s="262"/>
      <c r="K78" s="262">
        <f>F78-G78-H78</f>
        <v>1293225.4300000002</v>
      </c>
      <c r="L78" s="262">
        <v>0</v>
      </c>
      <c r="M78" s="262">
        <v>0</v>
      </c>
      <c r="N78" s="342">
        <f t="shared" si="1"/>
        <v>97.562830043652681</v>
      </c>
      <c r="O78" s="29"/>
      <c r="P78" s="29"/>
      <c r="Q78" s="29"/>
      <c r="R78" s="29"/>
      <c r="S78" s="29"/>
      <c r="T78" s="29"/>
      <c r="U78" s="29"/>
      <c r="V78" s="29"/>
      <c r="W78" s="29"/>
      <c r="X78" s="29"/>
      <c r="Y78" s="29"/>
      <c r="Z78" s="29"/>
      <c r="AA78" s="29"/>
      <c r="AB78" s="29"/>
      <c r="AC78" s="29"/>
      <c r="AD78" s="29"/>
      <c r="AE78" s="29"/>
      <c r="AF78" s="29"/>
      <c r="AG78" s="29"/>
    </row>
    <row r="79" spans="1:33" s="4" customFormat="1" ht="12.75" customHeight="1">
      <c r="A79" s="222">
        <v>854</v>
      </c>
      <c r="B79" s="222" t="s">
        <v>12</v>
      </c>
      <c r="C79" s="216" t="s">
        <v>96</v>
      </c>
      <c r="D79" s="383">
        <f t="shared" ref="D79:M79" si="14">SUM(D80:D86)</f>
        <v>4523055.05</v>
      </c>
      <c r="E79" s="383">
        <f t="shared" si="14"/>
        <v>4499558.63</v>
      </c>
      <c r="F79" s="383">
        <f t="shared" si="14"/>
        <v>4433522.55</v>
      </c>
      <c r="G79" s="383">
        <f t="shared" si="14"/>
        <v>2387649.69</v>
      </c>
      <c r="H79" s="383">
        <f t="shared" si="14"/>
        <v>810481.51</v>
      </c>
      <c r="I79" s="383">
        <f t="shared" si="14"/>
        <v>1148813.77</v>
      </c>
      <c r="J79" s="383">
        <f t="shared" si="14"/>
        <v>86577.58</v>
      </c>
      <c r="K79" s="383">
        <f t="shared" si="14"/>
        <v>0</v>
      </c>
      <c r="L79" s="383">
        <f t="shared" si="14"/>
        <v>0</v>
      </c>
      <c r="M79" s="383">
        <f t="shared" si="14"/>
        <v>66036.08</v>
      </c>
      <c r="N79" s="384">
        <f t="shared" si="1"/>
        <v>99.480518814379678</v>
      </c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</row>
    <row r="80" spans="1:33" ht="11.25" customHeight="1">
      <c r="A80" s="540"/>
      <c r="B80" s="208">
        <v>85406</v>
      </c>
      <c r="C80" s="204" t="s">
        <v>44</v>
      </c>
      <c r="D80" s="262">
        <v>880452</v>
      </c>
      <c r="E80" s="262">
        <v>880265.29</v>
      </c>
      <c r="F80" s="262">
        <f>E80</f>
        <v>880265.29</v>
      </c>
      <c r="G80" s="385">
        <f>590831+39000.58+95986.92+12971.49+11114</f>
        <v>749903.99</v>
      </c>
      <c r="H80" s="262">
        <f>F80-G80-J80</f>
        <v>130041.30000000005</v>
      </c>
      <c r="I80" s="262">
        <v>0</v>
      </c>
      <c r="J80" s="262">
        <v>320</v>
      </c>
      <c r="K80" s="262"/>
      <c r="L80" s="262">
        <v>0</v>
      </c>
      <c r="M80" s="262">
        <v>0</v>
      </c>
      <c r="N80" s="342">
        <f t="shared" si="1"/>
        <v>99.978793846796876</v>
      </c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</row>
    <row r="81" spans="1:33" ht="12.75" customHeight="1">
      <c r="A81" s="541"/>
      <c r="B81" s="208">
        <v>85407</v>
      </c>
      <c r="C81" s="204" t="s">
        <v>45</v>
      </c>
      <c r="D81" s="262">
        <v>447129</v>
      </c>
      <c r="E81" s="262">
        <v>447129</v>
      </c>
      <c r="F81" s="262">
        <f>E81-M81</f>
        <v>447129</v>
      </c>
      <c r="G81" s="385">
        <f>242708.04+18818.95+38359.78+5703.98+63044</f>
        <v>368634.75</v>
      </c>
      <c r="H81" s="262">
        <f>F81-G81-J81</f>
        <v>77516.67</v>
      </c>
      <c r="I81" s="262">
        <v>0</v>
      </c>
      <c r="J81" s="262">
        <v>977.58</v>
      </c>
      <c r="K81" s="262"/>
      <c r="L81" s="262">
        <v>0</v>
      </c>
      <c r="M81" s="262">
        <v>0</v>
      </c>
      <c r="N81" s="342">
        <f t="shared" ref="N81:N95" si="15">E81/D81*100</f>
        <v>100</v>
      </c>
      <c r="O81" s="29"/>
      <c r="P81" s="29"/>
      <c r="Q81" s="29"/>
      <c r="R81" s="29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</row>
    <row r="82" spans="1:33">
      <c r="A82" s="541"/>
      <c r="B82" s="208">
        <v>85410</v>
      </c>
      <c r="C82" s="204" t="s">
        <v>46</v>
      </c>
      <c r="D82" s="385">
        <v>605854.05000000005</v>
      </c>
      <c r="E82" s="385">
        <v>605851.54</v>
      </c>
      <c r="F82" s="262">
        <f>E82-M82</f>
        <v>589807.49</v>
      </c>
      <c r="G82" s="385">
        <f>252745+18717.5+46938+6755+12091.25</f>
        <v>337246.75</v>
      </c>
      <c r="H82" s="262">
        <f>F82-G82-J82</f>
        <v>234950.74</v>
      </c>
      <c r="I82" s="262">
        <v>0</v>
      </c>
      <c r="J82" s="262">
        <v>17610</v>
      </c>
      <c r="K82" s="262"/>
      <c r="L82" s="262">
        <v>0</v>
      </c>
      <c r="M82" s="262">
        <v>16044.05</v>
      </c>
      <c r="N82" s="342">
        <f t="shared" si="15"/>
        <v>99.999585708802314</v>
      </c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</row>
    <row r="83" spans="1:33">
      <c r="A83" s="541"/>
      <c r="B83" s="208">
        <v>85415</v>
      </c>
      <c r="C83" s="204" t="s">
        <v>98</v>
      </c>
      <c r="D83" s="385">
        <v>30980</v>
      </c>
      <c r="E83" s="385">
        <v>22380</v>
      </c>
      <c r="F83" s="262">
        <f>E83</f>
        <v>22380</v>
      </c>
      <c r="G83" s="262"/>
      <c r="H83" s="262">
        <v>10980</v>
      </c>
      <c r="I83" s="262">
        <v>0</v>
      </c>
      <c r="J83" s="262">
        <v>11400</v>
      </c>
      <c r="K83" s="262"/>
      <c r="L83" s="262">
        <v>0</v>
      </c>
      <c r="M83" s="262">
        <v>0</v>
      </c>
      <c r="N83" s="342">
        <f t="shared" si="15"/>
        <v>72.240154938670116</v>
      </c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</row>
    <row r="84" spans="1:33" ht="12" customHeight="1">
      <c r="A84" s="541"/>
      <c r="B84" s="208">
        <v>85419</v>
      </c>
      <c r="C84" s="204" t="s">
        <v>154</v>
      </c>
      <c r="D84" s="385">
        <v>1163315</v>
      </c>
      <c r="E84" s="385">
        <v>1148813.77</v>
      </c>
      <c r="F84" s="262">
        <f>E84</f>
        <v>1148813.77</v>
      </c>
      <c r="G84" s="262"/>
      <c r="H84" s="262"/>
      <c r="I84" s="262">
        <f>F84</f>
        <v>1148813.77</v>
      </c>
      <c r="J84" s="262"/>
      <c r="K84" s="262"/>
      <c r="L84" s="262">
        <v>0</v>
      </c>
      <c r="M84" s="262">
        <v>0</v>
      </c>
      <c r="N84" s="342">
        <f t="shared" si="15"/>
        <v>98.753456286560393</v>
      </c>
      <c r="O84" s="29"/>
      <c r="P84" s="29"/>
      <c r="Q84" s="29"/>
      <c r="R84" s="29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</row>
    <row r="85" spans="1:33">
      <c r="A85" s="541"/>
      <c r="B85" s="208">
        <v>85420</v>
      </c>
      <c r="C85" s="204" t="s">
        <v>120</v>
      </c>
      <c r="D85" s="385">
        <v>1380354</v>
      </c>
      <c r="E85" s="385">
        <v>1380332.03</v>
      </c>
      <c r="F85" s="262">
        <f>E85-M85</f>
        <v>1330340</v>
      </c>
      <c r="G85" s="385">
        <f>733591+54462.26+122790.94+21020</f>
        <v>931864.2</v>
      </c>
      <c r="H85" s="262">
        <f>F85-G85-J85</f>
        <v>342205.80000000005</v>
      </c>
      <c r="I85" s="262"/>
      <c r="J85" s="262">
        <v>56270</v>
      </c>
      <c r="K85" s="262"/>
      <c r="L85" s="262">
        <v>0</v>
      </c>
      <c r="M85" s="262">
        <v>49992.03</v>
      </c>
      <c r="N85" s="342">
        <f t="shared" si="15"/>
        <v>99.998408379299804</v>
      </c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</row>
    <row r="86" spans="1:33" ht="22.5">
      <c r="A86" s="541"/>
      <c r="B86" s="208">
        <v>85446</v>
      </c>
      <c r="C86" s="204" t="s">
        <v>85</v>
      </c>
      <c r="D86" s="261">
        <v>14971</v>
      </c>
      <c r="E86" s="261">
        <v>14787</v>
      </c>
      <c r="F86" s="259">
        <f>E86</f>
        <v>14787</v>
      </c>
      <c r="G86" s="259"/>
      <c r="H86" s="259">
        <f>F86</f>
        <v>14787</v>
      </c>
      <c r="I86" s="259"/>
      <c r="J86" s="259"/>
      <c r="K86" s="259"/>
      <c r="L86" s="259">
        <v>0</v>
      </c>
      <c r="M86" s="259">
        <v>0</v>
      </c>
      <c r="N86" s="342">
        <f t="shared" si="15"/>
        <v>98.770957183888854</v>
      </c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</row>
    <row r="87" spans="1:33" s="41" customFormat="1" ht="21">
      <c r="A87" s="222">
        <v>921</v>
      </c>
      <c r="B87" s="222"/>
      <c r="C87" s="216" t="s">
        <v>118</v>
      </c>
      <c r="D87" s="260">
        <f>D88+D89+D90</f>
        <v>216500</v>
      </c>
      <c r="E87" s="260">
        <f t="shared" ref="E87:M87" si="16">E88+E89+E90</f>
        <v>187652.1</v>
      </c>
      <c r="F87" s="260">
        <f t="shared" si="16"/>
        <v>187652.1</v>
      </c>
      <c r="G87" s="260">
        <f t="shared" si="16"/>
        <v>5500</v>
      </c>
      <c r="H87" s="260">
        <f t="shared" si="16"/>
        <v>22332.1</v>
      </c>
      <c r="I87" s="260">
        <f t="shared" si="16"/>
        <v>159820</v>
      </c>
      <c r="J87" s="260">
        <f t="shared" si="16"/>
        <v>0</v>
      </c>
      <c r="K87" s="260">
        <f t="shared" si="16"/>
        <v>0</v>
      </c>
      <c r="L87" s="260">
        <f t="shared" si="16"/>
        <v>0</v>
      </c>
      <c r="M87" s="260">
        <f t="shared" si="16"/>
        <v>0</v>
      </c>
      <c r="N87" s="342">
        <f t="shared" si="15"/>
        <v>86.675334872979221</v>
      </c>
      <c r="O87" s="40"/>
      <c r="P87" s="40"/>
      <c r="Q87" s="40"/>
      <c r="R87" s="40"/>
      <c r="S87" s="40"/>
      <c r="T87" s="40"/>
      <c r="U87" s="40"/>
      <c r="V87"/>
      <c r="W87" s="40"/>
      <c r="X87" s="40"/>
      <c r="Y87" s="40"/>
      <c r="Z87" s="40"/>
      <c r="AA87" s="40"/>
      <c r="AB87" s="40"/>
      <c r="AC87" s="40"/>
      <c r="AD87" s="40"/>
      <c r="AE87" s="40"/>
      <c r="AF87" s="40"/>
      <c r="AG87" s="40"/>
    </row>
    <row r="88" spans="1:33">
      <c r="A88" s="610"/>
      <c r="B88" s="208">
        <v>92105</v>
      </c>
      <c r="C88" s="204" t="s">
        <v>119</v>
      </c>
      <c r="D88" s="259">
        <v>60000</v>
      </c>
      <c r="E88" s="259">
        <v>56332.1</v>
      </c>
      <c r="F88" s="259">
        <f>E88</f>
        <v>56332.1</v>
      </c>
      <c r="G88" s="259">
        <v>5500</v>
      </c>
      <c r="H88" s="259">
        <f>F88-G88-I88</f>
        <v>22332.1</v>
      </c>
      <c r="I88" s="259">
        <v>28500</v>
      </c>
      <c r="J88" s="259"/>
      <c r="K88" s="259"/>
      <c r="L88" s="259">
        <v>0</v>
      </c>
      <c r="M88" s="259">
        <v>0</v>
      </c>
      <c r="N88" s="342">
        <f t="shared" si="15"/>
        <v>93.886833333333328</v>
      </c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</row>
    <row r="89" spans="1:33">
      <c r="A89" s="610"/>
      <c r="B89" s="208">
        <v>92116</v>
      </c>
      <c r="C89" s="204" t="s">
        <v>190</v>
      </c>
      <c r="D89" s="259">
        <v>86500</v>
      </c>
      <c r="E89" s="259">
        <v>86500</v>
      </c>
      <c r="F89" s="259">
        <f>E89-M89</f>
        <v>86500</v>
      </c>
      <c r="G89" s="259">
        <v>0</v>
      </c>
      <c r="H89" s="259">
        <v>0</v>
      </c>
      <c r="I89" s="259">
        <v>86500</v>
      </c>
      <c r="J89" s="259"/>
      <c r="K89" s="259"/>
      <c r="L89" s="259">
        <v>0</v>
      </c>
      <c r="M89" s="259">
        <v>0</v>
      </c>
      <c r="N89" s="342">
        <f t="shared" si="15"/>
        <v>100</v>
      </c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</row>
    <row r="90" spans="1:33">
      <c r="A90" s="610"/>
      <c r="B90" s="208">
        <v>92195</v>
      </c>
      <c r="C90" s="204" t="s">
        <v>74</v>
      </c>
      <c r="D90" s="259">
        <v>70000</v>
      </c>
      <c r="E90" s="259">
        <v>44820</v>
      </c>
      <c r="F90" s="259">
        <v>44820</v>
      </c>
      <c r="G90" s="259">
        <v>0</v>
      </c>
      <c r="H90" s="259">
        <v>0</v>
      </c>
      <c r="I90" s="259">
        <v>44820</v>
      </c>
      <c r="J90" s="259"/>
      <c r="K90" s="259"/>
      <c r="L90" s="259">
        <v>0</v>
      </c>
      <c r="M90" s="259">
        <v>0</v>
      </c>
      <c r="N90" s="342">
        <f t="shared" si="15"/>
        <v>64.028571428571425</v>
      </c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</row>
    <row r="91" spans="1:33" s="4" customFormat="1">
      <c r="A91" s="222">
        <v>926</v>
      </c>
      <c r="B91" s="222"/>
      <c r="C91" s="216" t="s">
        <v>476</v>
      </c>
      <c r="D91" s="260">
        <f>D93+D92+D94</f>
        <v>1160121.8400000001</v>
      </c>
      <c r="E91" s="260">
        <f t="shared" ref="E91:M91" si="17">E93+E92+E94</f>
        <v>1108844.75</v>
      </c>
      <c r="F91" s="260">
        <f t="shared" si="17"/>
        <v>138837.68999999994</v>
      </c>
      <c r="G91" s="260">
        <f t="shared" si="17"/>
        <v>29080.85</v>
      </c>
      <c r="H91" s="260">
        <f t="shared" si="17"/>
        <v>30756.839999999946</v>
      </c>
      <c r="I91" s="260">
        <f t="shared" si="17"/>
        <v>75000</v>
      </c>
      <c r="J91" s="260">
        <f t="shared" si="17"/>
        <v>4000</v>
      </c>
      <c r="K91" s="260">
        <f t="shared" si="17"/>
        <v>0</v>
      </c>
      <c r="L91" s="260">
        <f t="shared" si="17"/>
        <v>0</v>
      </c>
      <c r="M91" s="260">
        <f t="shared" si="17"/>
        <v>970007.06</v>
      </c>
      <c r="N91" s="342">
        <f t="shared" si="15"/>
        <v>95.580025456636506</v>
      </c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</row>
    <row r="92" spans="1:33" s="5" customFormat="1">
      <c r="A92" s="547"/>
      <c r="B92" s="208">
        <v>92601</v>
      </c>
      <c r="C92" s="204" t="s">
        <v>155</v>
      </c>
      <c r="D92" s="259">
        <v>1055121.8400000001</v>
      </c>
      <c r="E92" s="259">
        <v>1014445.75</v>
      </c>
      <c r="F92" s="259">
        <f>E92-M92</f>
        <v>44438.689999999944</v>
      </c>
      <c r="G92" s="259">
        <f>17933.52+2707.96+439.37+8000</f>
        <v>29080.85</v>
      </c>
      <c r="H92" s="259">
        <f>F92-G92</f>
        <v>15357.839999999946</v>
      </c>
      <c r="I92" s="259"/>
      <c r="J92" s="259"/>
      <c r="K92" s="259"/>
      <c r="L92" s="259">
        <v>0</v>
      </c>
      <c r="M92" s="259">
        <v>970007.06</v>
      </c>
      <c r="N92" s="342">
        <f t="shared" si="15"/>
        <v>96.144891664833693</v>
      </c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</row>
    <row r="93" spans="1:33" ht="24.75" customHeight="1">
      <c r="A93" s="547"/>
      <c r="B93" s="208">
        <v>92605</v>
      </c>
      <c r="C93" s="204" t="s">
        <v>100</v>
      </c>
      <c r="D93" s="259">
        <v>65000</v>
      </c>
      <c r="E93" s="259">
        <v>60399</v>
      </c>
      <c r="F93" s="259">
        <f>E93</f>
        <v>60399</v>
      </c>
      <c r="G93" s="259"/>
      <c r="H93" s="259">
        <f>15399</f>
        <v>15399</v>
      </c>
      <c r="I93" s="259">
        <v>45000</v>
      </c>
      <c r="J93" s="259"/>
      <c r="K93" s="259"/>
      <c r="L93" s="259">
        <v>0</v>
      </c>
      <c r="M93" s="259">
        <v>0</v>
      </c>
      <c r="N93" s="342">
        <f t="shared" si="15"/>
        <v>92.921538461538461</v>
      </c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</row>
    <row r="94" spans="1:33" ht="15" customHeight="1">
      <c r="A94" s="547"/>
      <c r="B94" s="208">
        <v>92695</v>
      </c>
      <c r="C94" s="204" t="s">
        <v>74</v>
      </c>
      <c r="D94" s="259">
        <v>40000</v>
      </c>
      <c r="E94" s="259">
        <v>34000</v>
      </c>
      <c r="F94" s="259">
        <f>E94</f>
        <v>34000</v>
      </c>
      <c r="G94" s="259"/>
      <c r="H94" s="259"/>
      <c r="I94" s="259">
        <v>30000</v>
      </c>
      <c r="J94" s="259">
        <v>4000</v>
      </c>
      <c r="K94" s="259"/>
      <c r="L94" s="259">
        <v>0</v>
      </c>
      <c r="M94" s="259">
        <v>0</v>
      </c>
      <c r="N94" s="342">
        <f t="shared" si="15"/>
        <v>85</v>
      </c>
      <c r="O94" s="29"/>
      <c r="P94" s="29"/>
      <c r="Q94" s="29"/>
      <c r="R94" s="29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  <c r="AF94" s="29"/>
      <c r="AG94" s="29"/>
    </row>
    <row r="95" spans="1:33" s="49" customFormat="1" ht="12">
      <c r="A95" s="609" t="s">
        <v>26</v>
      </c>
      <c r="B95" s="609"/>
      <c r="C95" s="609"/>
      <c r="D95" s="260">
        <f t="shared" ref="D95:M95" si="18">D12+D15+D18+D20+D24+D26+D30+D39+D46+D48+D59+D63+D73+D79+D87+D91+D37</f>
        <v>64140795.710000008</v>
      </c>
      <c r="E95" s="260">
        <f t="shared" si="18"/>
        <v>61796661.730000012</v>
      </c>
      <c r="F95" s="260">
        <f t="shared" si="18"/>
        <v>46822095.610000007</v>
      </c>
      <c r="G95" s="260">
        <f t="shared" si="18"/>
        <v>23318181.789999999</v>
      </c>
      <c r="H95" s="260">
        <f t="shared" si="18"/>
        <v>12264873.799999999</v>
      </c>
      <c r="I95" s="260">
        <f t="shared" si="18"/>
        <v>7146447.3100000005</v>
      </c>
      <c r="J95" s="260">
        <f t="shared" si="18"/>
        <v>2351718.7000000007</v>
      </c>
      <c r="K95" s="260">
        <f t="shared" si="18"/>
        <v>1293225.4300000002</v>
      </c>
      <c r="L95" s="260">
        <f t="shared" si="18"/>
        <v>447648.58</v>
      </c>
      <c r="M95" s="260">
        <f t="shared" si="18"/>
        <v>14974566.120000001</v>
      </c>
      <c r="N95" s="342">
        <f t="shared" si="15"/>
        <v>96.345330683768665</v>
      </c>
      <c r="O95" s="48"/>
      <c r="P95" s="48"/>
      <c r="Q95" s="48"/>
      <c r="R95" s="48"/>
      <c r="S95" s="48"/>
      <c r="T95" s="48"/>
      <c r="U95" s="48"/>
      <c r="V95" s="48"/>
      <c r="W95" s="48"/>
      <c r="X95" s="48"/>
      <c r="Y95" s="48"/>
      <c r="Z95" s="48"/>
      <c r="AA95" s="48"/>
      <c r="AB95" s="48"/>
      <c r="AC95" s="48"/>
      <c r="AD95" s="48"/>
      <c r="AE95" s="48"/>
      <c r="AF95" s="48"/>
      <c r="AG95" s="48"/>
    </row>
    <row r="96" spans="1:3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</row>
    <row r="97" spans="1:13">
      <c r="A97" s="1"/>
      <c r="B97" s="1"/>
      <c r="C97" s="1"/>
      <c r="D97" s="1"/>
      <c r="E97" s="1"/>
      <c r="F97" s="614"/>
      <c r="G97" s="614"/>
      <c r="H97" s="1"/>
      <c r="I97" s="1"/>
      <c r="J97" s="1"/>
      <c r="K97" s="1"/>
      <c r="L97" s="1"/>
      <c r="M97" s="1"/>
    </row>
    <row r="98" spans="1:13">
      <c r="E98" s="264"/>
      <c r="F98" s="608"/>
      <c r="G98" s="608"/>
    </row>
    <row r="99" spans="1:13">
      <c r="E99" s="264"/>
      <c r="G99" s="39"/>
    </row>
  </sheetData>
  <mergeCells count="31">
    <mergeCell ref="A21:A23"/>
    <mergeCell ref="A31:A36"/>
    <mergeCell ref="A27:A29"/>
    <mergeCell ref="A40:A45"/>
    <mergeCell ref="F97:G97"/>
    <mergeCell ref="F98:G98"/>
    <mergeCell ref="A49:A58"/>
    <mergeCell ref="A95:C95"/>
    <mergeCell ref="A92:A94"/>
    <mergeCell ref="A88:A90"/>
    <mergeCell ref="A74:A78"/>
    <mergeCell ref="A80:A86"/>
    <mergeCell ref="A64:A72"/>
    <mergeCell ref="A60:A62"/>
    <mergeCell ref="I1:N1"/>
    <mergeCell ref="F8:M8"/>
    <mergeCell ref="M9:M10"/>
    <mergeCell ref="F9:F10"/>
    <mergeCell ref="N8:N10"/>
    <mergeCell ref="G9:L9"/>
    <mergeCell ref="A16:A17"/>
    <mergeCell ref="A2:N2"/>
    <mergeCell ref="A3:N3"/>
    <mergeCell ref="A4:N4"/>
    <mergeCell ref="A5:N5"/>
    <mergeCell ref="A13:A14"/>
    <mergeCell ref="A8:A10"/>
    <mergeCell ref="B8:B10"/>
    <mergeCell ref="C8:C10"/>
    <mergeCell ref="D8:D10"/>
    <mergeCell ref="E8:E10"/>
  </mergeCells>
  <phoneticPr fontId="0" type="noConversion"/>
  <pageMargins left="0.78740157480314965" right="0.19685039370078741" top="0.78740157480314965" bottom="0.78740157480314965" header="0.51181102362204722" footer="0.51181102362204722"/>
  <pageSetup paperSize="9" scale="95" orientation="landscape" r:id="rId1"/>
  <headerFooter alignWithMargins="0">
    <oddFooter>&amp;C&amp;"Times New (W1),Standardowy"Tabela Nr 3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X126"/>
  <sheetViews>
    <sheetView view="pageLayout" topLeftCell="A35" workbookViewId="0">
      <selection activeCell="K36" sqref="K36"/>
    </sheetView>
  </sheetViews>
  <sheetFormatPr defaultRowHeight="12.75"/>
  <cols>
    <col min="1" max="1" width="5.28515625" customWidth="1"/>
    <col min="2" max="2" width="6" hidden="1" customWidth="1"/>
    <col min="3" max="3" width="6.140625" hidden="1" customWidth="1"/>
    <col min="4" max="4" width="25.28515625" customWidth="1"/>
    <col min="5" max="5" width="13.5703125" customWidth="1"/>
    <col min="6" max="6" width="12.7109375" hidden="1" customWidth="1"/>
    <col min="7" max="9" width="12.7109375" customWidth="1"/>
    <col min="10" max="10" width="16.7109375" customWidth="1"/>
    <col min="11" max="11" width="40.7109375" customWidth="1"/>
    <col min="12" max="12" width="0.85546875" hidden="1" customWidth="1"/>
  </cols>
  <sheetData>
    <row r="1" spans="1:24" ht="15.75" customHeight="1">
      <c r="D1" t="s">
        <v>137</v>
      </c>
      <c r="E1" t="s">
        <v>128</v>
      </c>
    </row>
    <row r="2" spans="1:24" s="3" customFormat="1">
      <c r="A2" s="92" t="s">
        <v>13</v>
      </c>
      <c r="B2" s="26"/>
      <c r="C2" s="12" t="s">
        <v>27</v>
      </c>
      <c r="D2" s="13">
        <v>120294</v>
      </c>
      <c r="E2" s="27">
        <v>120292.16</v>
      </c>
      <c r="F2" s="27"/>
      <c r="G2" s="28"/>
      <c r="H2" s="28"/>
      <c r="I2" s="28"/>
      <c r="J2" s="28"/>
      <c r="K2" s="28"/>
      <c r="L2" s="28"/>
      <c r="M2" s="28"/>
      <c r="N2" s="28"/>
      <c r="O2" s="28"/>
      <c r="P2" s="28"/>
      <c r="Q2" s="28"/>
      <c r="R2" s="28"/>
      <c r="S2" s="28"/>
      <c r="T2" s="28"/>
      <c r="U2" s="28"/>
      <c r="V2" s="28"/>
      <c r="W2" s="28"/>
      <c r="X2" s="28"/>
    </row>
    <row r="3" spans="1:24" hidden="1">
      <c r="A3" s="93" t="s">
        <v>12</v>
      </c>
      <c r="B3" s="17" t="s">
        <v>48</v>
      </c>
      <c r="C3" s="14" t="s">
        <v>64</v>
      </c>
      <c r="D3" s="8">
        <v>92000</v>
      </c>
      <c r="E3" s="8">
        <v>2213</v>
      </c>
      <c r="F3" s="8">
        <v>0</v>
      </c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</row>
    <row r="4" spans="1:24" hidden="1">
      <c r="A4" s="93"/>
      <c r="B4" s="17" t="s">
        <v>121</v>
      </c>
      <c r="C4" s="35" t="s">
        <v>122</v>
      </c>
      <c r="D4" s="8">
        <v>104</v>
      </c>
      <c r="E4" s="8">
        <v>104</v>
      </c>
      <c r="F4" s="8"/>
      <c r="G4" s="29"/>
      <c r="H4" s="29"/>
      <c r="I4" s="29"/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</row>
    <row r="5" spans="1:24" s="4" customFormat="1" ht="24">
      <c r="A5" s="92" t="s">
        <v>14</v>
      </c>
      <c r="B5" s="91"/>
      <c r="C5" s="15" t="s">
        <v>28</v>
      </c>
      <c r="D5" s="16">
        <v>306840.53000000003</v>
      </c>
      <c r="E5" s="16">
        <v>294878.65000000002</v>
      </c>
      <c r="F5" s="16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</row>
    <row r="6" spans="1:24" ht="48" hidden="1">
      <c r="A6" s="93"/>
      <c r="B6" s="17" t="s">
        <v>66</v>
      </c>
      <c r="C6" s="7" t="s">
        <v>67</v>
      </c>
      <c r="D6" s="8">
        <v>224829</v>
      </c>
      <c r="E6" s="8">
        <v>116347</v>
      </c>
      <c r="F6" s="8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</row>
    <row r="7" spans="1:24" hidden="1">
      <c r="A7" s="93"/>
      <c r="B7" s="17" t="s">
        <v>102</v>
      </c>
      <c r="C7" s="14" t="s">
        <v>103</v>
      </c>
      <c r="D7" s="8">
        <v>8200</v>
      </c>
      <c r="E7" s="8">
        <v>0</v>
      </c>
      <c r="F7" s="8"/>
      <c r="G7" s="29"/>
      <c r="H7" s="29"/>
      <c r="I7" s="29"/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</row>
    <row r="8" spans="1:24">
      <c r="A8" s="93">
        <v>150</v>
      </c>
      <c r="B8" s="17"/>
      <c r="C8" s="14"/>
      <c r="D8" s="8">
        <v>1520</v>
      </c>
      <c r="E8" s="90">
        <v>1519.73</v>
      </c>
      <c r="F8" s="8"/>
      <c r="G8" s="29"/>
      <c r="H8" s="29"/>
      <c r="I8" s="29"/>
      <c r="J8" s="29"/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  <c r="W8" s="29"/>
      <c r="X8" s="29"/>
    </row>
    <row r="9" spans="1:24" s="4" customFormat="1">
      <c r="A9" s="94">
        <v>600</v>
      </c>
      <c r="B9" s="91"/>
      <c r="C9" s="18" t="s">
        <v>69</v>
      </c>
      <c r="D9" s="16">
        <v>8901530.2300000004</v>
      </c>
      <c r="E9" s="31">
        <v>8838080.2100000009</v>
      </c>
      <c r="F9" s="16">
        <f>F10</f>
        <v>262320</v>
      </c>
      <c r="G9" s="30"/>
      <c r="H9" s="30"/>
      <c r="I9" s="30"/>
      <c r="J9" s="30"/>
      <c r="K9" s="30"/>
      <c r="L9" s="30"/>
      <c r="M9" s="30"/>
      <c r="N9" s="30"/>
      <c r="O9" s="30"/>
      <c r="P9" s="30"/>
      <c r="Q9" s="30"/>
      <c r="R9" s="30"/>
      <c r="S9" s="30"/>
      <c r="T9" s="30"/>
      <c r="U9" s="30"/>
      <c r="V9" s="30"/>
      <c r="W9" s="30"/>
      <c r="X9" s="30"/>
    </row>
    <row r="10" spans="1:24" hidden="1">
      <c r="A10" s="93"/>
      <c r="B10" s="17">
        <v>60014</v>
      </c>
      <c r="C10" s="14" t="s">
        <v>39</v>
      </c>
      <c r="D10" s="8">
        <v>1203064</v>
      </c>
      <c r="E10" s="8">
        <f>484309</f>
        <v>484309</v>
      </c>
      <c r="F10" s="8">
        <f>187452+34873+33469+5726+800</f>
        <v>262320</v>
      </c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</row>
    <row r="11" spans="1:24" s="4" customFormat="1">
      <c r="A11" s="94">
        <v>700</v>
      </c>
      <c r="B11" s="91"/>
      <c r="C11" s="18" t="s">
        <v>29</v>
      </c>
      <c r="D11" s="16">
        <v>400032.83</v>
      </c>
      <c r="E11" s="16">
        <v>331498.11</v>
      </c>
      <c r="F11" s="16">
        <f>F12</f>
        <v>244</v>
      </c>
      <c r="G11" s="30"/>
      <c r="H11" s="30"/>
      <c r="I11" s="30"/>
      <c r="J11" s="30"/>
      <c r="K11" s="30"/>
      <c r="L11" s="30"/>
      <c r="M11" s="30"/>
      <c r="N11" s="30"/>
      <c r="O11" s="30"/>
      <c r="P11" s="30"/>
      <c r="Q11" s="30"/>
      <c r="R11" s="30"/>
      <c r="S11" s="30"/>
      <c r="T11" s="30"/>
      <c r="U11" s="30"/>
      <c r="V11" s="30"/>
      <c r="W11" s="30"/>
      <c r="X11" s="30"/>
    </row>
    <row r="12" spans="1:24" hidden="1">
      <c r="A12" s="93" t="s">
        <v>12</v>
      </c>
      <c r="B12" s="19">
        <v>70005</v>
      </c>
      <c r="C12" s="14" t="s">
        <v>70</v>
      </c>
      <c r="D12" s="8">
        <v>205200</v>
      </c>
      <c r="E12" s="8">
        <v>144908</v>
      </c>
      <c r="F12" s="8">
        <v>244</v>
      </c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9"/>
      <c r="V12" s="29"/>
      <c r="W12" s="29"/>
      <c r="X12" s="29"/>
    </row>
    <row r="13" spans="1:24" s="4" customFormat="1" ht="18" customHeight="1">
      <c r="A13" s="94">
        <v>710</v>
      </c>
      <c r="B13" s="26"/>
      <c r="C13" s="18" t="s">
        <v>104</v>
      </c>
      <c r="D13" s="16">
        <v>369173</v>
      </c>
      <c r="E13" s="16">
        <v>369165</v>
      </c>
      <c r="F13" s="16">
        <f>F14+F15+F16</f>
        <v>53079</v>
      </c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</row>
    <row r="14" spans="1:24" hidden="1">
      <c r="A14" s="93"/>
      <c r="B14" s="19">
        <v>71013</v>
      </c>
      <c r="C14" s="14" t="s">
        <v>105</v>
      </c>
      <c r="D14" s="8">
        <v>50000</v>
      </c>
      <c r="E14" s="8">
        <v>0</v>
      </c>
      <c r="F14" s="8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</row>
    <row r="15" spans="1:24" ht="12.75" hidden="1" customHeight="1">
      <c r="A15" s="93"/>
      <c r="B15" s="19">
        <v>71014</v>
      </c>
      <c r="C15" s="7" t="s">
        <v>72</v>
      </c>
      <c r="D15" s="8">
        <v>20000</v>
      </c>
      <c r="E15" s="8">
        <v>0</v>
      </c>
      <c r="F15" s="8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9"/>
      <c r="V15" s="29"/>
      <c r="W15" s="29"/>
      <c r="X15" s="29"/>
    </row>
    <row r="16" spans="1:24" ht="13.5" hidden="1" customHeight="1">
      <c r="A16" s="93" t="s">
        <v>12</v>
      </c>
      <c r="B16" s="19">
        <v>71015</v>
      </c>
      <c r="C16" s="7" t="s">
        <v>73</v>
      </c>
      <c r="D16" s="8">
        <v>121900</v>
      </c>
      <c r="E16" s="8">
        <v>57990</v>
      </c>
      <c r="F16" s="8">
        <f>26643+11345+6066+7954+1071</f>
        <v>53079</v>
      </c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</row>
    <row r="17" spans="1:24" ht="13.5" hidden="1" customHeight="1">
      <c r="A17" s="93">
        <v>0</v>
      </c>
      <c r="B17" s="19">
        <v>71095</v>
      </c>
      <c r="C17" s="7" t="s">
        <v>74</v>
      </c>
      <c r="D17" s="8">
        <v>0</v>
      </c>
      <c r="E17" s="8">
        <v>0</v>
      </c>
      <c r="F17" s="8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</row>
    <row r="18" spans="1:24" s="4" customFormat="1" ht="60" hidden="1">
      <c r="A18" s="94">
        <v>750</v>
      </c>
      <c r="B18" s="26"/>
      <c r="C18" s="15" t="s">
        <v>31</v>
      </c>
      <c r="D18" s="16">
        <v>3770270</v>
      </c>
      <c r="E18" s="16">
        <v>1940122</v>
      </c>
      <c r="F18" s="16">
        <f>F19+F22+F20+F21+F23</f>
        <v>1088502</v>
      </c>
      <c r="G18" s="30"/>
      <c r="H18" s="30"/>
      <c r="I18" s="30"/>
      <c r="J18" s="30"/>
      <c r="K18" s="30"/>
      <c r="L18" s="30"/>
      <c r="M18" s="30"/>
      <c r="N18" s="30"/>
      <c r="O18" s="30"/>
      <c r="P18" s="30"/>
      <c r="Q18" s="30"/>
      <c r="R18" s="30"/>
      <c r="S18" s="30"/>
      <c r="T18" s="30"/>
      <c r="U18" s="30"/>
      <c r="V18" s="30"/>
      <c r="W18" s="30"/>
      <c r="X18" s="30"/>
    </row>
    <row r="19" spans="1:24" ht="48" hidden="1">
      <c r="A19" s="93" t="s">
        <v>12</v>
      </c>
      <c r="B19" s="19">
        <v>75011</v>
      </c>
      <c r="C19" s="7" t="s">
        <v>76</v>
      </c>
      <c r="D19" s="8">
        <v>98000</v>
      </c>
      <c r="E19" s="8">
        <v>48996</v>
      </c>
      <c r="F19" s="8">
        <v>48996</v>
      </c>
      <c r="G19" s="29"/>
      <c r="H19" s="29"/>
      <c r="I19" s="29"/>
      <c r="J19" s="29"/>
      <c r="K19" s="29"/>
      <c r="L19" s="29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</row>
    <row r="20" spans="1:24" ht="36" hidden="1">
      <c r="A20" s="93"/>
      <c r="B20" s="19">
        <v>75019</v>
      </c>
      <c r="C20" s="7" t="s">
        <v>106</v>
      </c>
      <c r="D20" s="8">
        <v>172200</v>
      </c>
      <c r="E20" s="8">
        <v>76455</v>
      </c>
      <c r="F20" s="8">
        <v>0</v>
      </c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</row>
    <row r="21" spans="1:24" ht="48" hidden="1">
      <c r="A21" s="93"/>
      <c r="B21" s="19">
        <v>75020</v>
      </c>
      <c r="C21" s="7" t="s">
        <v>77</v>
      </c>
      <c r="D21" s="8">
        <v>2843856</v>
      </c>
      <c r="E21" s="8">
        <v>1524850</v>
      </c>
      <c r="F21" s="20">
        <f>734578+122354+126401+19171+28767</f>
        <v>1031271</v>
      </c>
      <c r="G21" s="29"/>
      <c r="H21" s="29"/>
      <c r="I21" s="29"/>
      <c r="J21" s="29"/>
      <c r="K21" s="29"/>
      <c r="L21" s="29"/>
      <c r="M21" s="29"/>
      <c r="N21" s="29"/>
      <c r="O21" s="29"/>
      <c r="P21" s="29"/>
      <c r="Q21" s="29"/>
      <c r="R21" s="29"/>
      <c r="S21" s="29"/>
      <c r="T21" s="29"/>
      <c r="U21" s="29"/>
      <c r="V21" s="29"/>
      <c r="W21" s="29"/>
      <c r="X21" s="29"/>
    </row>
    <row r="22" spans="1:24" ht="48" hidden="1">
      <c r="A22" s="93"/>
      <c r="B22" s="19">
        <v>75045</v>
      </c>
      <c r="C22" s="7" t="s">
        <v>78</v>
      </c>
      <c r="D22" s="8">
        <v>16162</v>
      </c>
      <c r="E22" s="8">
        <v>15620</v>
      </c>
      <c r="F22" s="20">
        <f>276+39+7920</f>
        <v>8235</v>
      </c>
      <c r="G22" s="29"/>
      <c r="H22" s="29"/>
      <c r="I22" s="29"/>
      <c r="J22" s="29"/>
      <c r="K22" s="29"/>
      <c r="L22" s="29"/>
      <c r="M22" s="29"/>
      <c r="N22" s="29"/>
      <c r="O22" s="29"/>
      <c r="P22" s="29"/>
      <c r="Q22" s="29"/>
      <c r="R22" s="29"/>
      <c r="S22" s="29"/>
      <c r="T22" s="29"/>
      <c r="U22" s="29"/>
      <c r="V22" s="29"/>
      <c r="W22" s="29"/>
      <c r="X22" s="29"/>
    </row>
    <row r="23" spans="1:24" ht="48" hidden="1">
      <c r="A23" s="93"/>
      <c r="B23" s="19">
        <v>75095</v>
      </c>
      <c r="C23" s="7" t="s">
        <v>74</v>
      </c>
      <c r="D23" s="8">
        <v>152377</v>
      </c>
      <c r="E23" s="8">
        <v>105202</v>
      </c>
      <c r="F23" s="8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</row>
    <row r="24" spans="1:24" s="4" customFormat="1" ht="48" hidden="1">
      <c r="A24" s="94">
        <v>752</v>
      </c>
      <c r="B24" s="26"/>
      <c r="C24" s="15" t="s">
        <v>50</v>
      </c>
      <c r="D24" s="16">
        <v>300</v>
      </c>
      <c r="E24" s="16">
        <v>299</v>
      </c>
      <c r="F24" s="16"/>
      <c r="G24" s="30"/>
      <c r="H24" s="30"/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  <c r="U24" s="30"/>
      <c r="V24" s="30"/>
      <c r="W24" s="30"/>
      <c r="X24" s="30"/>
    </row>
    <row r="25" spans="1:24" ht="72" hidden="1">
      <c r="A25" s="93"/>
      <c r="B25" s="19">
        <v>75212</v>
      </c>
      <c r="C25" s="7" t="s">
        <v>51</v>
      </c>
      <c r="D25" s="8">
        <v>1000</v>
      </c>
      <c r="E25" s="8">
        <v>0</v>
      </c>
      <c r="F25" s="8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</row>
    <row r="26" spans="1:24" s="4" customFormat="1" ht="84" hidden="1">
      <c r="A26" s="94">
        <v>754</v>
      </c>
      <c r="B26" s="26"/>
      <c r="C26" s="15" t="s">
        <v>107</v>
      </c>
      <c r="D26" s="16">
        <v>2201200</v>
      </c>
      <c r="E26" s="16">
        <v>1130720</v>
      </c>
      <c r="F26" s="16">
        <f>F28+F29</f>
        <v>751230</v>
      </c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</row>
    <row r="27" spans="1:24" s="5" customFormat="1" ht="17.25" hidden="1" customHeight="1">
      <c r="A27" s="93"/>
      <c r="B27" s="19">
        <v>75404</v>
      </c>
      <c r="C27" s="7" t="s">
        <v>108</v>
      </c>
      <c r="D27" s="8">
        <v>30000</v>
      </c>
      <c r="E27" s="8">
        <v>30000</v>
      </c>
      <c r="F27" s="8"/>
      <c r="G27" s="32"/>
      <c r="H27" s="32"/>
      <c r="I27" s="32"/>
      <c r="J27" s="32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</row>
    <row r="28" spans="1:24" ht="108" hidden="1">
      <c r="A28" s="93"/>
      <c r="B28" s="19">
        <v>75411</v>
      </c>
      <c r="C28" s="7" t="s">
        <v>109</v>
      </c>
      <c r="D28" s="8">
        <v>2090222</v>
      </c>
      <c r="E28" s="8">
        <v>1063335</v>
      </c>
      <c r="F28" s="8">
        <f>6532+639846+116+103411+1168+157</f>
        <v>751230</v>
      </c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9"/>
      <c r="V28" s="29"/>
      <c r="W28" s="29"/>
      <c r="X28" s="29"/>
    </row>
    <row r="29" spans="1:24" ht="48" hidden="1">
      <c r="A29" s="93"/>
      <c r="B29" s="19">
        <v>75414</v>
      </c>
      <c r="C29" s="7" t="s">
        <v>79</v>
      </c>
      <c r="D29" s="8">
        <v>0</v>
      </c>
      <c r="E29" s="8">
        <v>0</v>
      </c>
      <c r="F29" s="8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9"/>
      <c r="V29" s="29"/>
      <c r="W29" s="29"/>
      <c r="X29" s="29"/>
    </row>
    <row r="30" spans="1:24" s="4" customFormat="1" ht="60" hidden="1">
      <c r="A30" s="94">
        <v>757</v>
      </c>
      <c r="B30" s="26"/>
      <c r="C30" s="15" t="s">
        <v>110</v>
      </c>
      <c r="D30" s="16">
        <v>440685</v>
      </c>
      <c r="E30" s="16">
        <v>249247</v>
      </c>
      <c r="F30" s="16"/>
      <c r="G30" s="30"/>
      <c r="H30" s="30"/>
      <c r="I30" s="30"/>
      <c r="J30" s="30"/>
      <c r="K30" s="30"/>
      <c r="L30" s="30"/>
      <c r="M30" s="30"/>
      <c r="N30" s="30"/>
      <c r="O30" s="30"/>
      <c r="P30" s="30"/>
      <c r="Q30" s="30"/>
      <c r="R30" s="30"/>
      <c r="S30" s="30"/>
      <c r="T30" s="30"/>
      <c r="U30" s="30"/>
      <c r="V30" s="30"/>
      <c r="W30" s="30"/>
      <c r="X30" s="30"/>
    </row>
    <row r="31" spans="1:24" ht="23.25" hidden="1" customHeight="1">
      <c r="A31" s="93"/>
      <c r="B31" s="19">
        <v>75702</v>
      </c>
      <c r="C31" s="7" t="s">
        <v>111</v>
      </c>
      <c r="D31" s="8">
        <v>525430</v>
      </c>
      <c r="E31" s="8">
        <v>380834</v>
      </c>
      <c r="F31" s="8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9"/>
      <c r="V31" s="29"/>
      <c r="W31" s="29"/>
      <c r="X31" s="29"/>
    </row>
    <row r="32" spans="1:24" ht="23.25" customHeight="1">
      <c r="A32" s="93">
        <v>750</v>
      </c>
      <c r="B32" s="19"/>
      <c r="C32" s="7"/>
      <c r="D32" s="8">
        <v>9028621.4000000004</v>
      </c>
      <c r="E32" s="8">
        <v>8696846.3000000007</v>
      </c>
      <c r="F32" s="8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9"/>
      <c r="V32" s="29"/>
      <c r="W32" s="29"/>
      <c r="X32" s="29"/>
    </row>
    <row r="33" spans="1:24" ht="23.25" customHeight="1">
      <c r="A33" s="369">
        <v>751</v>
      </c>
      <c r="B33" s="19"/>
      <c r="C33" s="7"/>
      <c r="D33" s="8">
        <v>17701.09</v>
      </c>
      <c r="E33" s="8">
        <v>17701.09</v>
      </c>
      <c r="F33" s="8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9"/>
      <c r="V33" s="29"/>
      <c r="W33" s="29"/>
      <c r="X33" s="29"/>
    </row>
    <row r="34" spans="1:24" ht="23.25" customHeight="1">
      <c r="A34" s="93">
        <v>754</v>
      </c>
      <c r="B34" s="19"/>
      <c r="C34" s="7"/>
      <c r="D34" s="8">
        <v>4177183</v>
      </c>
      <c r="E34" s="8">
        <v>4079616.7</v>
      </c>
      <c r="F34" s="8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</row>
    <row r="35" spans="1:24" ht="23.25" customHeight="1">
      <c r="A35" s="93">
        <v>757</v>
      </c>
      <c r="B35" s="19"/>
      <c r="C35" s="7"/>
      <c r="D35" s="8">
        <v>572174</v>
      </c>
      <c r="E35" s="8">
        <v>447648.58</v>
      </c>
      <c r="F35" s="8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9"/>
      <c r="V35" s="29"/>
      <c r="W35" s="29"/>
      <c r="X35" s="29"/>
    </row>
    <row r="36" spans="1:24" s="4" customFormat="1" ht="60">
      <c r="A36" s="94">
        <v>801</v>
      </c>
      <c r="B36" s="26"/>
      <c r="C36" s="15" t="s">
        <v>54</v>
      </c>
      <c r="D36" s="16">
        <v>17858039.460000001</v>
      </c>
      <c r="E36" s="16">
        <v>17092482.370000001</v>
      </c>
      <c r="F36" s="16">
        <f>SUM(F37:F44)</f>
        <v>3689871</v>
      </c>
      <c r="G36" s="30"/>
      <c r="H36" s="30"/>
      <c r="I36" s="30"/>
      <c r="J36" s="30"/>
      <c r="K36" s="30"/>
      <c r="L36" s="30"/>
      <c r="M36" s="30"/>
      <c r="N36" s="30"/>
      <c r="O36" s="30"/>
      <c r="P36" s="30"/>
      <c r="Q36" s="30"/>
      <c r="R36" s="30"/>
      <c r="S36" s="30"/>
      <c r="T36" s="30"/>
      <c r="U36" s="30"/>
      <c r="V36" s="30"/>
      <c r="W36" s="30"/>
      <c r="X36" s="30"/>
    </row>
    <row r="37" spans="1:24" ht="72" hidden="1">
      <c r="A37" s="93"/>
      <c r="B37" s="19">
        <v>80102</v>
      </c>
      <c r="C37" s="7" t="s">
        <v>41</v>
      </c>
      <c r="D37" s="8">
        <v>505078</v>
      </c>
      <c r="E37" s="8">
        <v>331232</v>
      </c>
      <c r="F37" s="20">
        <f>196206+26135+37238+5208+450</f>
        <v>265237</v>
      </c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</row>
    <row r="38" spans="1:24" ht="48" hidden="1">
      <c r="A38" s="93"/>
      <c r="B38" s="19">
        <v>80111</v>
      </c>
      <c r="C38" s="7" t="s">
        <v>112</v>
      </c>
      <c r="D38" s="8">
        <v>475749</v>
      </c>
      <c r="E38" s="8">
        <v>298949</v>
      </c>
      <c r="F38" s="20">
        <f>E38-16937</f>
        <v>282012</v>
      </c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9"/>
      <c r="V38" s="29"/>
      <c r="W38" s="29"/>
      <c r="X38" s="29"/>
    </row>
    <row r="39" spans="1:24" ht="48" hidden="1">
      <c r="A39" s="93"/>
      <c r="B39" s="19">
        <v>80120</v>
      </c>
      <c r="C39" s="7" t="s">
        <v>47</v>
      </c>
      <c r="D39" s="8">
        <v>6261477</v>
      </c>
      <c r="E39" s="8">
        <f>1416382</f>
        <v>1416382</v>
      </c>
      <c r="F39" s="8">
        <f>719401+108702+140170+19592+5607</f>
        <v>993472</v>
      </c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9"/>
      <c r="V39" s="29"/>
      <c r="W39" s="29"/>
      <c r="X39" s="29"/>
    </row>
    <row r="40" spans="1:24" ht="36" hidden="1">
      <c r="A40" s="93"/>
      <c r="B40" s="19">
        <v>80123</v>
      </c>
      <c r="C40" s="7" t="s">
        <v>42</v>
      </c>
      <c r="D40" s="20">
        <v>1774906</v>
      </c>
      <c r="E40" s="20">
        <v>1075369</v>
      </c>
      <c r="F40" s="20">
        <f>584273+89310+117937+15966</f>
        <v>807486</v>
      </c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9"/>
      <c r="V40" s="29"/>
      <c r="W40" s="29"/>
      <c r="X40" s="29"/>
    </row>
    <row r="41" spans="1:24" ht="36" hidden="1">
      <c r="A41" s="93"/>
      <c r="B41" s="19">
        <v>80130</v>
      </c>
      <c r="C41" s="7" t="s">
        <v>43</v>
      </c>
      <c r="D41" s="20">
        <v>3313174</v>
      </c>
      <c r="E41" s="20">
        <v>2096781</v>
      </c>
      <c r="F41" s="20">
        <f>916626+140181+184575+25295+11296</f>
        <v>1277973</v>
      </c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9"/>
      <c r="V41" s="29"/>
      <c r="W41" s="29"/>
      <c r="X41" s="29"/>
    </row>
    <row r="42" spans="1:24" ht="60" hidden="1">
      <c r="A42" s="93"/>
      <c r="B42" s="19">
        <v>80134</v>
      </c>
      <c r="C42" s="7" t="s">
        <v>113</v>
      </c>
      <c r="D42" s="8">
        <v>136812</v>
      </c>
      <c r="E42" s="8">
        <v>72783</v>
      </c>
      <c r="F42" s="8">
        <f>47352+5517+9525+1297</f>
        <v>63691</v>
      </c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9"/>
      <c r="V42" s="29"/>
      <c r="W42" s="29"/>
      <c r="X42" s="29"/>
    </row>
    <row r="43" spans="1:24" ht="12.75" hidden="1" customHeight="1">
      <c r="A43" s="93"/>
      <c r="B43" s="19">
        <v>80146</v>
      </c>
      <c r="C43" s="7" t="s">
        <v>85</v>
      </c>
      <c r="D43" s="8">
        <f>54969-11722</f>
        <v>43247</v>
      </c>
      <c r="E43" s="8">
        <v>0</v>
      </c>
      <c r="F43" s="8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</row>
    <row r="44" spans="1:24" ht="48" hidden="1">
      <c r="A44" s="93"/>
      <c r="B44" s="19">
        <v>80195</v>
      </c>
      <c r="C44" s="7" t="s">
        <v>74</v>
      </c>
      <c r="D44" s="8">
        <v>64531</v>
      </c>
      <c r="E44" s="8">
        <v>48400</v>
      </c>
      <c r="F44" s="8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</row>
    <row r="45" spans="1:24" ht="84" hidden="1">
      <c r="A45" s="93"/>
      <c r="B45" s="19">
        <v>80309</v>
      </c>
      <c r="C45" s="7" t="s">
        <v>123</v>
      </c>
      <c r="D45" s="8">
        <v>49764</v>
      </c>
      <c r="E45" s="8">
        <v>20016</v>
      </c>
      <c r="F45" s="8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9"/>
      <c r="V45" s="29"/>
      <c r="W45" s="29"/>
      <c r="X45" s="29"/>
    </row>
    <row r="46" spans="1:24" s="4" customFormat="1" ht="13.5" customHeight="1">
      <c r="A46" s="94">
        <v>851</v>
      </c>
      <c r="B46" s="26"/>
      <c r="C46" s="21" t="s">
        <v>34</v>
      </c>
      <c r="D46" s="16">
        <v>2998212</v>
      </c>
      <c r="E46" s="16">
        <v>2577078.42</v>
      </c>
      <c r="F46" s="16">
        <f>F49+F47+F48</f>
        <v>959</v>
      </c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</row>
    <row r="47" spans="1:24" s="5" customFormat="1" ht="12" hidden="1" customHeight="1">
      <c r="A47" s="93"/>
      <c r="B47" s="19">
        <v>85111</v>
      </c>
      <c r="C47" s="9" t="s">
        <v>86</v>
      </c>
      <c r="D47" s="8">
        <v>344145</v>
      </c>
      <c r="E47" s="8">
        <v>44135</v>
      </c>
      <c r="F47" s="8"/>
      <c r="G47" s="32"/>
      <c r="H47" s="32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2"/>
      <c r="U47" s="32"/>
      <c r="V47" s="32"/>
      <c r="W47" s="32"/>
      <c r="X47" s="32"/>
    </row>
    <row r="48" spans="1:24" s="5" customFormat="1" ht="12.75" hidden="1" customHeight="1">
      <c r="A48" s="93"/>
      <c r="B48" s="19">
        <v>85154</v>
      </c>
      <c r="C48" s="9" t="s">
        <v>87</v>
      </c>
      <c r="D48" s="8">
        <v>26380</v>
      </c>
      <c r="E48" s="8">
        <v>5206</v>
      </c>
      <c r="F48" s="8">
        <v>959</v>
      </c>
      <c r="G48" s="32"/>
      <c r="H48" s="32"/>
      <c r="I48" s="32"/>
      <c r="J48" s="32"/>
      <c r="K48" s="32"/>
      <c r="L48" s="32"/>
      <c r="M48" s="32"/>
      <c r="N48" s="32"/>
      <c r="O48" s="32"/>
      <c r="P48" s="32"/>
      <c r="Q48" s="32"/>
      <c r="R48" s="32"/>
      <c r="S48" s="32"/>
      <c r="T48" s="32"/>
      <c r="U48" s="32"/>
      <c r="V48" s="32"/>
      <c r="W48" s="32"/>
      <c r="X48" s="32"/>
    </row>
    <row r="49" spans="1:24" hidden="1">
      <c r="A49" s="93"/>
      <c r="B49" s="19">
        <v>85156</v>
      </c>
      <c r="C49" s="11" t="s">
        <v>88</v>
      </c>
      <c r="D49" s="8">
        <v>1168000</v>
      </c>
      <c r="E49" s="8">
        <v>433496</v>
      </c>
      <c r="F49" s="8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9"/>
      <c r="V49" s="29"/>
      <c r="W49" s="29"/>
      <c r="X49" s="29"/>
    </row>
    <row r="50" spans="1:24" ht="48" hidden="1">
      <c r="A50" s="93"/>
      <c r="B50" s="19">
        <v>85195</v>
      </c>
      <c r="C50" s="7" t="s">
        <v>74</v>
      </c>
      <c r="D50" s="8">
        <v>2000</v>
      </c>
      <c r="E50" s="8">
        <v>0</v>
      </c>
      <c r="F50" s="8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9"/>
      <c r="V50" s="29"/>
      <c r="W50" s="29"/>
      <c r="X50" s="29"/>
    </row>
    <row r="51" spans="1:24" s="4" customFormat="1" ht="48">
      <c r="A51" s="94">
        <v>852</v>
      </c>
      <c r="B51" s="26"/>
      <c r="C51" s="15" t="s">
        <v>35</v>
      </c>
      <c r="D51" s="16">
        <v>9537352.7400000002</v>
      </c>
      <c r="E51" s="16">
        <v>9233894.0999999996</v>
      </c>
      <c r="F51" s="16">
        <f>F54+F57+F52+F53+F55+F58</f>
        <v>684308</v>
      </c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</row>
    <row r="52" spans="1:24" s="5" customFormat="1" ht="12.75" hidden="1" customHeight="1">
      <c r="A52" s="93"/>
      <c r="B52" s="19">
        <v>85201</v>
      </c>
      <c r="C52" s="7" t="s">
        <v>89</v>
      </c>
      <c r="D52" s="8">
        <v>1748865</v>
      </c>
      <c r="E52" s="8">
        <v>862369</v>
      </c>
      <c r="F52" s="8">
        <f>343035+60335+70550+10165+19956</f>
        <v>504041</v>
      </c>
      <c r="G52" s="32"/>
      <c r="H52" s="32"/>
      <c r="I52" s="32"/>
      <c r="J52" s="32"/>
      <c r="K52" s="32"/>
      <c r="L52" s="32"/>
      <c r="M52" s="32"/>
      <c r="N52" s="32"/>
      <c r="O52" s="32"/>
      <c r="P52" s="32"/>
      <c r="Q52" s="32"/>
      <c r="R52" s="32"/>
      <c r="S52" s="32"/>
      <c r="T52" s="32"/>
      <c r="U52" s="32"/>
      <c r="V52" s="32"/>
      <c r="W52" s="32"/>
      <c r="X52" s="32"/>
    </row>
    <row r="53" spans="1:24" s="5" customFormat="1" ht="60" hidden="1">
      <c r="A53" s="93"/>
      <c r="B53" s="19">
        <v>85202</v>
      </c>
      <c r="C53" s="7" t="s">
        <v>90</v>
      </c>
      <c r="D53" s="8">
        <v>2496156</v>
      </c>
      <c r="E53" s="8">
        <v>1300359</v>
      </c>
      <c r="F53" s="8"/>
      <c r="G53" s="32"/>
      <c r="H53" s="32"/>
      <c r="I53" s="32"/>
      <c r="J53" s="32"/>
      <c r="K53" s="32"/>
      <c r="L53" s="32"/>
      <c r="M53" s="32"/>
      <c r="N53" s="32"/>
      <c r="O53" s="32"/>
      <c r="P53" s="32"/>
      <c r="Q53" s="32"/>
      <c r="R53" s="32"/>
      <c r="S53" s="32"/>
      <c r="T53" s="32"/>
      <c r="U53" s="32"/>
      <c r="V53" s="32"/>
      <c r="W53" s="32"/>
      <c r="X53" s="32"/>
    </row>
    <row r="54" spans="1:24" ht="48" hidden="1">
      <c r="A54" s="93"/>
      <c r="B54" s="19">
        <v>85203</v>
      </c>
      <c r="C54" s="7" t="s">
        <v>91</v>
      </c>
      <c r="D54" s="8">
        <v>243003</v>
      </c>
      <c r="E54" s="20">
        <v>114960</v>
      </c>
      <c r="F54" s="20">
        <f>61257+5173+12453+1920+6180</f>
        <v>86983</v>
      </c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</row>
    <row r="55" spans="1:24" ht="48" hidden="1">
      <c r="A55" s="93"/>
      <c r="B55" s="19">
        <v>85204</v>
      </c>
      <c r="C55" s="7" t="s">
        <v>114</v>
      </c>
      <c r="D55" s="8">
        <v>1245313</v>
      </c>
      <c r="E55" s="8">
        <v>596254</v>
      </c>
      <c r="F55" s="20">
        <f>2012+278+12897</f>
        <v>15187</v>
      </c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9"/>
      <c r="V55" s="29"/>
      <c r="W55" s="29"/>
      <c r="X55" s="29"/>
    </row>
    <row r="56" spans="1:24" ht="37.5" hidden="1" customHeight="1">
      <c r="A56" s="93"/>
      <c r="B56" s="19">
        <v>85212</v>
      </c>
      <c r="C56" s="7" t="s">
        <v>115</v>
      </c>
      <c r="D56" s="8">
        <v>12784</v>
      </c>
      <c r="E56" s="8">
        <v>6000</v>
      </c>
      <c r="F56" s="20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9"/>
      <c r="V56" s="29"/>
      <c r="W56" s="29"/>
      <c r="X56" s="29"/>
    </row>
    <row r="57" spans="1:24" ht="12.75" hidden="1" customHeight="1">
      <c r="A57" s="93"/>
      <c r="B57" s="19">
        <v>85216</v>
      </c>
      <c r="C57" s="7" t="s">
        <v>92</v>
      </c>
      <c r="D57" s="8">
        <v>0</v>
      </c>
      <c r="E57" s="8">
        <v>0</v>
      </c>
      <c r="F57" s="8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9"/>
      <c r="V57" s="29"/>
      <c r="W57" s="29"/>
      <c r="X57" s="29"/>
    </row>
    <row r="58" spans="1:24" ht="12.75" hidden="1" customHeight="1">
      <c r="A58" s="93"/>
      <c r="B58" s="19">
        <v>85218</v>
      </c>
      <c r="C58" s="7" t="s">
        <v>93</v>
      </c>
      <c r="D58" s="8">
        <v>273622</v>
      </c>
      <c r="E58" s="8">
        <v>125136</v>
      </c>
      <c r="F58" s="20">
        <f>53563+10904+10074+2006+1550</f>
        <v>78097</v>
      </c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9"/>
      <c r="V58" s="29"/>
      <c r="W58" s="29"/>
      <c r="X58" s="29"/>
    </row>
    <row r="59" spans="1:24" ht="12.75" hidden="1" customHeight="1">
      <c r="A59" s="93"/>
      <c r="B59" s="19">
        <v>85233</v>
      </c>
      <c r="C59" s="7" t="s">
        <v>85</v>
      </c>
      <c r="D59" s="8">
        <v>4015</v>
      </c>
      <c r="E59" s="8">
        <v>0</v>
      </c>
      <c r="F59" s="20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9"/>
      <c r="V59" s="29"/>
      <c r="W59" s="29"/>
      <c r="X59" s="29"/>
    </row>
    <row r="60" spans="1:24" ht="12.75" hidden="1" customHeight="1">
      <c r="A60" s="93"/>
      <c r="B60" s="19">
        <v>85295</v>
      </c>
      <c r="C60" s="7" t="s">
        <v>74</v>
      </c>
      <c r="D60" s="8">
        <v>7000</v>
      </c>
      <c r="E60" s="8">
        <v>7000</v>
      </c>
      <c r="F60" s="20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9"/>
      <c r="V60" s="29"/>
      <c r="W60" s="29"/>
      <c r="X60" s="29"/>
    </row>
    <row r="61" spans="1:24" s="4" customFormat="1" ht="108">
      <c r="A61" s="94">
        <v>853</v>
      </c>
      <c r="B61" s="26"/>
      <c r="C61" s="15" t="s">
        <v>116</v>
      </c>
      <c r="D61" s="16">
        <v>3952444.54</v>
      </c>
      <c r="E61" s="16">
        <v>3899904.83</v>
      </c>
      <c r="F61" s="16">
        <f>F62+F63</f>
        <v>419015</v>
      </c>
      <c r="G61" s="30"/>
      <c r="H61" s="30"/>
      <c r="I61" s="30"/>
      <c r="J61" s="30"/>
      <c r="K61" s="30"/>
      <c r="L61" s="30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</row>
    <row r="62" spans="1:24" ht="12" hidden="1" customHeight="1">
      <c r="A62" s="616"/>
      <c r="B62" s="19">
        <v>85321</v>
      </c>
      <c r="C62" s="7" t="s">
        <v>117</v>
      </c>
      <c r="D62" s="8">
        <v>71000</v>
      </c>
      <c r="E62" s="8">
        <v>32763</v>
      </c>
      <c r="F62" s="8">
        <f>12229+2910+2329+424+2484</f>
        <v>20376</v>
      </c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9"/>
      <c r="V62" s="29"/>
      <c r="W62" s="29"/>
      <c r="X62" s="29"/>
    </row>
    <row r="63" spans="1:24" ht="14.25" hidden="1" customHeight="1">
      <c r="A63" s="616"/>
      <c r="B63" s="19">
        <v>85333</v>
      </c>
      <c r="C63" s="22" t="s">
        <v>95</v>
      </c>
      <c r="D63" s="8">
        <v>873528</v>
      </c>
      <c r="E63" s="8">
        <v>451979</v>
      </c>
      <c r="F63" s="8">
        <f>280495+55514+50402+7070+5158</f>
        <v>398639</v>
      </c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9"/>
      <c r="V63" s="29"/>
      <c r="W63" s="29"/>
      <c r="X63" s="29"/>
    </row>
    <row r="64" spans="1:24" ht="14.25" hidden="1" customHeight="1">
      <c r="A64" s="616"/>
      <c r="B64" s="19">
        <v>85334</v>
      </c>
      <c r="C64" s="9" t="s">
        <v>126</v>
      </c>
      <c r="D64" s="8">
        <v>55903</v>
      </c>
      <c r="E64" s="8">
        <v>55903</v>
      </c>
      <c r="F64" s="8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9"/>
      <c r="V64" s="29"/>
      <c r="W64" s="29"/>
      <c r="X64" s="29"/>
    </row>
    <row r="65" spans="1:24" s="4" customFormat="1" ht="12.75" customHeight="1">
      <c r="A65" s="95">
        <v>854</v>
      </c>
      <c r="B65" s="26" t="s">
        <v>12</v>
      </c>
      <c r="C65" s="23" t="s">
        <v>96</v>
      </c>
      <c r="D65" s="16">
        <v>4523055.05</v>
      </c>
      <c r="E65" s="16">
        <v>4499558.63</v>
      </c>
      <c r="F65" s="16">
        <f>SUM(F66:F73)</f>
        <v>901223</v>
      </c>
      <c r="G65" s="30"/>
      <c r="H65" s="30"/>
      <c r="I65" s="30"/>
      <c r="J65" s="30"/>
      <c r="K65" s="30"/>
      <c r="L65" s="30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</row>
    <row r="66" spans="1:24" ht="96" hidden="1">
      <c r="A66" s="616"/>
      <c r="B66" s="19">
        <v>85406</v>
      </c>
      <c r="C66" s="22" t="s">
        <v>44</v>
      </c>
      <c r="D66" s="8">
        <v>465439</v>
      </c>
      <c r="E66" s="8">
        <v>284568</v>
      </c>
      <c r="F66" s="20">
        <f>170636+27331+34466+5276+1881</f>
        <v>239590</v>
      </c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9"/>
      <c r="V66" s="29"/>
      <c r="W66" s="29"/>
      <c r="X66" s="29"/>
    </row>
    <row r="67" spans="1:24" ht="12.75" hidden="1" customHeight="1">
      <c r="A67" s="616"/>
      <c r="B67" s="19">
        <v>85407</v>
      </c>
      <c r="C67" s="22" t="s">
        <v>45</v>
      </c>
      <c r="D67" s="8">
        <v>313359</v>
      </c>
      <c r="E67" s="8">
        <v>185895</v>
      </c>
      <c r="F67" s="20">
        <f>80368+12184+14222+2210+43058</f>
        <v>152042</v>
      </c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9"/>
      <c r="V67" s="29"/>
      <c r="W67" s="29"/>
      <c r="X67" s="29"/>
    </row>
    <row r="68" spans="1:24" ht="60" hidden="1">
      <c r="A68" s="616"/>
      <c r="B68" s="19">
        <v>85410</v>
      </c>
      <c r="C68" s="22" t="s">
        <v>46</v>
      </c>
      <c r="D68" s="20">
        <v>869259</v>
      </c>
      <c r="E68" s="8">
        <v>622117</v>
      </c>
      <c r="F68" s="20">
        <f>187642+37269+50719+6507</f>
        <v>282137</v>
      </c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9"/>
      <c r="V68" s="29"/>
      <c r="W68" s="29"/>
      <c r="X68" s="29"/>
    </row>
    <row r="69" spans="1:24" ht="33" hidden="1" customHeight="1">
      <c r="A69" s="616"/>
      <c r="B69" s="19">
        <v>85412</v>
      </c>
      <c r="C69" s="10" t="s">
        <v>127</v>
      </c>
      <c r="D69" s="20">
        <v>26</v>
      </c>
      <c r="E69" s="8"/>
      <c r="F69" s="20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9"/>
      <c r="V69" s="29"/>
      <c r="W69" s="29"/>
      <c r="X69" s="29"/>
    </row>
    <row r="70" spans="1:24" ht="84" hidden="1">
      <c r="A70" s="616"/>
      <c r="B70" s="19">
        <v>85415</v>
      </c>
      <c r="C70" s="7" t="s">
        <v>98</v>
      </c>
      <c r="D70" s="20">
        <v>311309</v>
      </c>
      <c r="E70" s="8">
        <v>89163</v>
      </c>
      <c r="F70" s="20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</row>
    <row r="71" spans="1:24" ht="84" hidden="1">
      <c r="A71" s="616"/>
      <c r="B71" s="19">
        <v>85420</v>
      </c>
      <c r="C71" s="22" t="s">
        <v>120</v>
      </c>
      <c r="D71" s="20">
        <v>737219</v>
      </c>
      <c r="E71" s="8">
        <v>365313</v>
      </c>
      <c r="F71" s="20">
        <f>192739+2379+27686+4650</f>
        <v>227454</v>
      </c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9"/>
      <c r="V71" s="29"/>
      <c r="W71" s="29"/>
      <c r="X71" s="29"/>
    </row>
    <row r="72" spans="1:24" ht="12" hidden="1" customHeight="1">
      <c r="A72" s="616"/>
      <c r="B72" s="19">
        <v>85446</v>
      </c>
      <c r="C72" s="7" t="s">
        <v>85</v>
      </c>
      <c r="D72" s="20">
        <v>7707</v>
      </c>
      <c r="E72" s="8">
        <v>0</v>
      </c>
      <c r="F72" s="20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9"/>
      <c r="V72" s="29"/>
      <c r="W72" s="29"/>
      <c r="X72" s="29"/>
    </row>
    <row r="73" spans="1:24" ht="48" hidden="1">
      <c r="A73" s="616"/>
      <c r="B73" s="19">
        <v>85495</v>
      </c>
      <c r="C73" s="22" t="s">
        <v>74</v>
      </c>
      <c r="D73" s="8">
        <v>11690</v>
      </c>
      <c r="E73" s="8">
        <v>8766</v>
      </c>
      <c r="F73" s="8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9"/>
      <c r="V73" s="29"/>
      <c r="W73" s="29"/>
      <c r="X73" s="29"/>
    </row>
    <row r="74" spans="1:24" s="4" customFormat="1" ht="108" hidden="1">
      <c r="A74" s="94">
        <v>921</v>
      </c>
      <c r="B74" s="24"/>
      <c r="C74" s="15" t="s">
        <v>118</v>
      </c>
      <c r="D74" s="16">
        <f>D75+D76</f>
        <v>0</v>
      </c>
      <c r="E74" s="16">
        <f>E75+E76</f>
        <v>0</v>
      </c>
      <c r="F74" s="16"/>
      <c r="G74" s="30"/>
      <c r="H74" s="30"/>
      <c r="I74" s="30"/>
      <c r="J74" s="30"/>
      <c r="K74" s="30"/>
      <c r="L74" s="30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</row>
    <row r="75" spans="1:24" ht="84" hidden="1">
      <c r="A75" s="616"/>
      <c r="B75" s="25">
        <v>92105</v>
      </c>
      <c r="C75" s="7" t="s">
        <v>119</v>
      </c>
      <c r="D75" s="8">
        <v>0</v>
      </c>
      <c r="E75" s="8"/>
      <c r="F75" s="8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9"/>
      <c r="V75" s="29"/>
      <c r="W75" s="29"/>
      <c r="X75" s="29"/>
    </row>
    <row r="76" spans="1:24" ht="48" hidden="1">
      <c r="A76" s="616"/>
      <c r="B76" s="25">
        <v>92195</v>
      </c>
      <c r="C76" s="7" t="s">
        <v>74</v>
      </c>
      <c r="D76" s="8">
        <v>0</v>
      </c>
      <c r="E76" s="8">
        <v>0</v>
      </c>
      <c r="F76" s="8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</row>
    <row r="77" spans="1:24" ht="30" customHeight="1">
      <c r="A77" s="94">
        <v>921</v>
      </c>
      <c r="B77" s="25"/>
      <c r="C77" s="15" t="s">
        <v>140</v>
      </c>
      <c r="D77" s="16">
        <v>216500</v>
      </c>
      <c r="E77" s="16">
        <v>187652.1</v>
      </c>
      <c r="F77" s="8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9"/>
      <c r="V77" s="29"/>
      <c r="W77" s="29"/>
      <c r="X77" s="29"/>
    </row>
    <row r="78" spans="1:24" s="4" customFormat="1" ht="60">
      <c r="A78" s="94">
        <v>926</v>
      </c>
      <c r="B78" s="24"/>
      <c r="C78" s="15" t="s">
        <v>99</v>
      </c>
      <c r="D78" s="16">
        <v>1160121.8400000001</v>
      </c>
      <c r="E78" s="16">
        <v>1108844.75</v>
      </c>
      <c r="F78" s="16"/>
      <c r="G78" s="30"/>
      <c r="H78" s="30"/>
      <c r="I78" s="30"/>
      <c r="J78" s="30"/>
      <c r="K78" s="30"/>
      <c r="L78" s="30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</row>
    <row r="79" spans="1:24" ht="96" hidden="1">
      <c r="A79" s="93"/>
      <c r="B79" s="25">
        <v>92605</v>
      </c>
      <c r="C79" s="7" t="s">
        <v>100</v>
      </c>
      <c r="D79" s="8">
        <v>51000</v>
      </c>
      <c r="E79" s="33">
        <v>25029</v>
      </c>
      <c r="F79" s="8">
        <v>0</v>
      </c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</row>
    <row r="80" spans="1:24">
      <c r="A80" s="96"/>
      <c r="D80" s="29">
        <f>D78+D77+D65+D61+D51+D46+D36+D35+D34+D32+D13+D11+D9+D8+D5+D2+D33</f>
        <v>64140795.710000008</v>
      </c>
      <c r="E80" s="29">
        <f>E78+E77+E65+E61+E51+E46+E36+E35+E34+E32+E13+E11+E9+E8+E5+E2+E33</f>
        <v>61796661.729999997</v>
      </c>
    </row>
    <row r="81" spans="1:1">
      <c r="A81" s="96"/>
    </row>
    <row r="82" spans="1:1">
      <c r="A82" s="96"/>
    </row>
    <row r="93" spans="1:1" ht="74.25" customHeight="1"/>
    <row r="94" spans="1:1" ht="23.25" customHeight="1"/>
    <row r="103" spans="1:6" ht="45" customHeight="1"/>
    <row r="110" spans="1:6" ht="3" customHeight="1"/>
    <row r="111" spans="1:6" ht="15" hidden="1">
      <c r="A111" s="615"/>
      <c r="B111" s="615"/>
      <c r="C111" s="615"/>
      <c r="D111" s="615"/>
      <c r="E111" s="615"/>
      <c r="F111" s="615"/>
    </row>
    <row r="112" spans="1:6" hidden="1"/>
    <row r="113" hidden="1"/>
    <row r="118" ht="30.75" customHeight="1"/>
    <row r="119" hidden="1"/>
    <row r="120" hidden="1"/>
    <row r="121" hidden="1"/>
    <row r="122" hidden="1"/>
    <row r="123" hidden="1"/>
    <row r="124" hidden="1"/>
    <row r="125" hidden="1"/>
    <row r="126" hidden="1"/>
  </sheetData>
  <mergeCells count="4">
    <mergeCell ref="A111:F111"/>
    <mergeCell ref="A62:A64"/>
    <mergeCell ref="A66:A73"/>
    <mergeCell ref="A75:A76"/>
  </mergeCells>
  <phoneticPr fontId="0" type="noConversion"/>
  <pageMargins left="2.0833333333333332E-2" right="0.36458333333333331" top="0.59" bottom="0.33" header="0.36" footer="0.18"/>
  <pageSetup paperSize="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1:E26"/>
  <sheetViews>
    <sheetView view="pageLayout" workbookViewId="0">
      <selection activeCell="G13" sqref="G13"/>
    </sheetView>
  </sheetViews>
  <sheetFormatPr defaultRowHeight="12.75"/>
  <cols>
    <col min="1" max="1" width="7.140625" customWidth="1"/>
    <col min="2" max="2" width="33.42578125" customWidth="1"/>
    <col min="3" max="3" width="10.5703125" customWidth="1"/>
    <col min="4" max="4" width="15.7109375" customWidth="1"/>
    <col min="5" max="5" width="14.5703125" customWidth="1"/>
  </cols>
  <sheetData>
    <row r="1" spans="1:5">
      <c r="A1" s="297"/>
      <c r="B1" s="297"/>
      <c r="C1" s="297"/>
      <c r="D1" s="297"/>
      <c r="E1" s="298" t="s">
        <v>303</v>
      </c>
    </row>
    <row r="2" spans="1:5" ht="15.75">
      <c r="A2" s="617" t="s">
        <v>266</v>
      </c>
      <c r="B2" s="618"/>
      <c r="C2" s="618"/>
      <c r="D2" s="618"/>
      <c r="E2" s="618"/>
    </row>
    <row r="3" spans="1:5" ht="15.75">
      <c r="A3" s="618" t="s">
        <v>267</v>
      </c>
      <c r="B3" s="618"/>
      <c r="C3" s="618"/>
      <c r="D3" s="618"/>
      <c r="E3" s="618"/>
    </row>
    <row r="4" spans="1:5" ht="15.75">
      <c r="A4" s="618" t="s">
        <v>268</v>
      </c>
      <c r="B4" s="618"/>
      <c r="C4" s="618"/>
      <c r="D4" s="618"/>
      <c r="E4" s="618"/>
    </row>
    <row r="5" spans="1:5">
      <c r="A5" s="297"/>
      <c r="B5" s="297"/>
      <c r="C5" s="297"/>
      <c r="D5" s="297"/>
      <c r="E5" s="299" t="s">
        <v>168</v>
      </c>
    </row>
    <row r="6" spans="1:5" ht="38.25">
      <c r="A6" s="300" t="s">
        <v>192</v>
      </c>
      <c r="B6" s="300" t="s">
        <v>160</v>
      </c>
      <c r="C6" s="301" t="s">
        <v>269</v>
      </c>
      <c r="D6" s="301" t="s">
        <v>137</v>
      </c>
      <c r="E6" s="301" t="s">
        <v>300</v>
      </c>
    </row>
    <row r="7" spans="1:5">
      <c r="A7" s="302">
        <v>1</v>
      </c>
      <c r="B7" s="302">
        <v>2</v>
      </c>
      <c r="C7" s="302">
        <v>3</v>
      </c>
      <c r="D7" s="302">
        <v>4</v>
      </c>
      <c r="E7" s="302">
        <v>5</v>
      </c>
    </row>
    <row r="8" spans="1:5">
      <c r="A8" s="619" t="s">
        <v>270</v>
      </c>
      <c r="B8" s="619"/>
      <c r="C8" s="303"/>
      <c r="D8" s="323">
        <f>D9+D16+D12</f>
        <v>13914121.85</v>
      </c>
      <c r="E8" s="304">
        <f>E9+E16+E12</f>
        <v>13718576.27</v>
      </c>
    </row>
    <row r="9" spans="1:5">
      <c r="A9" s="305" t="s">
        <v>209</v>
      </c>
      <c r="B9" s="306" t="s">
        <v>271</v>
      </c>
      <c r="C9" s="305" t="s">
        <v>272</v>
      </c>
      <c r="D9" s="319">
        <v>12463577.189999999</v>
      </c>
      <c r="E9" s="307">
        <v>12268031.609999999</v>
      </c>
    </row>
    <row r="10" spans="1:5">
      <c r="A10" s="308" t="s">
        <v>218</v>
      </c>
      <c r="B10" s="309" t="s">
        <v>273</v>
      </c>
      <c r="C10" s="308" t="s">
        <v>272</v>
      </c>
      <c r="D10" s="320"/>
      <c r="E10" s="310"/>
    </row>
    <row r="11" spans="1:5" ht="38.25">
      <c r="A11" s="308" t="s">
        <v>219</v>
      </c>
      <c r="B11" s="311" t="s">
        <v>299</v>
      </c>
      <c r="C11" s="308" t="s">
        <v>274</v>
      </c>
      <c r="D11" s="320"/>
      <c r="E11" s="310"/>
    </row>
    <row r="12" spans="1:5">
      <c r="A12" s="308" t="s">
        <v>242</v>
      </c>
      <c r="B12" s="309" t="s">
        <v>275</v>
      </c>
      <c r="C12" s="308" t="s">
        <v>276</v>
      </c>
      <c r="D12" s="320">
        <v>540000</v>
      </c>
      <c r="E12" s="310">
        <v>540000</v>
      </c>
    </row>
    <row r="13" spans="1:5">
      <c r="A13" s="308" t="s">
        <v>243</v>
      </c>
      <c r="B13" s="309" t="s">
        <v>277</v>
      </c>
      <c r="C13" s="308" t="s">
        <v>278</v>
      </c>
      <c r="D13" s="320"/>
      <c r="E13" s="310"/>
    </row>
    <row r="14" spans="1:5">
      <c r="A14" s="308" t="s">
        <v>244</v>
      </c>
      <c r="B14" s="309" t="s">
        <v>279</v>
      </c>
      <c r="C14" s="308" t="s">
        <v>280</v>
      </c>
      <c r="D14" s="320"/>
      <c r="E14" s="310"/>
    </row>
    <row r="15" spans="1:5">
      <c r="A15" s="308" t="s">
        <v>245</v>
      </c>
      <c r="B15" s="309" t="s">
        <v>281</v>
      </c>
      <c r="C15" s="308" t="s">
        <v>282</v>
      </c>
      <c r="D15" s="320"/>
      <c r="E15" s="310"/>
    </row>
    <row r="16" spans="1:5">
      <c r="A16" s="308" t="s">
        <v>246</v>
      </c>
      <c r="B16" s="312" t="s">
        <v>283</v>
      </c>
      <c r="C16" s="313" t="s">
        <v>284</v>
      </c>
      <c r="D16" s="321">
        <v>910544.66</v>
      </c>
      <c r="E16" s="314">
        <v>910544.66</v>
      </c>
    </row>
    <row r="17" spans="1:5">
      <c r="A17" s="619" t="s">
        <v>285</v>
      </c>
      <c r="B17" s="619"/>
      <c r="C17" s="303"/>
      <c r="D17" s="322">
        <f>D18+D23+D21</f>
        <v>1990000</v>
      </c>
      <c r="E17" s="304">
        <f>E18+E19+E23+E21</f>
        <v>1990000</v>
      </c>
    </row>
    <row r="18" spans="1:5">
      <c r="A18" s="305" t="s">
        <v>209</v>
      </c>
      <c r="B18" s="306" t="s">
        <v>286</v>
      </c>
      <c r="C18" s="305" t="s">
        <v>287</v>
      </c>
      <c r="D18" s="319">
        <v>950000</v>
      </c>
      <c r="E18" s="307">
        <v>950000</v>
      </c>
    </row>
    <row r="19" spans="1:5">
      <c r="A19" s="308" t="s">
        <v>218</v>
      </c>
      <c r="B19" s="309" t="s">
        <v>288</v>
      </c>
      <c r="C19" s="308" t="s">
        <v>287</v>
      </c>
      <c r="D19" s="320"/>
      <c r="E19" s="310">
        <v>0</v>
      </c>
    </row>
    <row r="20" spans="1:5" ht="51">
      <c r="A20" s="308" t="s">
        <v>219</v>
      </c>
      <c r="B20" s="311" t="s">
        <v>289</v>
      </c>
      <c r="C20" s="308" t="s">
        <v>290</v>
      </c>
      <c r="D20" s="320"/>
      <c r="E20" s="310"/>
    </row>
    <row r="21" spans="1:5">
      <c r="A21" s="308" t="s">
        <v>242</v>
      </c>
      <c r="B21" s="309" t="s">
        <v>291</v>
      </c>
      <c r="C21" s="308" t="s">
        <v>292</v>
      </c>
      <c r="D21" s="320">
        <v>540000</v>
      </c>
      <c r="E21" s="310">
        <v>540000</v>
      </c>
    </row>
    <row r="22" spans="1:5">
      <c r="A22" s="308" t="s">
        <v>243</v>
      </c>
      <c r="B22" s="309" t="s">
        <v>293</v>
      </c>
      <c r="C22" s="308" t="s">
        <v>294</v>
      </c>
      <c r="D22" s="320"/>
      <c r="E22" s="310"/>
    </row>
    <row r="23" spans="1:5" ht="25.5">
      <c r="A23" s="308" t="s">
        <v>244</v>
      </c>
      <c r="B23" s="311" t="s">
        <v>295</v>
      </c>
      <c r="C23" s="308" t="s">
        <v>296</v>
      </c>
      <c r="D23" s="320">
        <v>500000</v>
      </c>
      <c r="E23" s="310">
        <v>500000</v>
      </c>
    </row>
    <row r="24" spans="1:5">
      <c r="A24" s="313" t="s">
        <v>245</v>
      </c>
      <c r="B24" s="312" t="s">
        <v>297</v>
      </c>
      <c r="C24" s="313" t="s">
        <v>298</v>
      </c>
      <c r="D24" s="321"/>
      <c r="E24" s="314"/>
    </row>
    <row r="25" spans="1:5">
      <c r="A25" s="315"/>
      <c r="B25" s="316"/>
      <c r="C25" s="316"/>
      <c r="D25" s="316"/>
      <c r="E25" s="316"/>
    </row>
    <row r="26" spans="1:5">
      <c r="A26" s="317"/>
      <c r="B26" s="318"/>
      <c r="C26" s="318"/>
      <c r="D26" s="318"/>
      <c r="E26" s="318"/>
    </row>
  </sheetData>
  <mergeCells count="5">
    <mergeCell ref="A2:E2"/>
    <mergeCell ref="A3:E3"/>
    <mergeCell ref="A4:E4"/>
    <mergeCell ref="A8:B8"/>
    <mergeCell ref="A17:B17"/>
  </mergeCells>
  <pageMargins left="0.7" right="0.7" top="0.75" bottom="0.75" header="0.3" footer="0.3"/>
  <pageSetup paperSize="9" orientation="portrait" r:id="rId1"/>
  <headerFooter>
    <oddFooter>&amp;CTabela Nr 4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>
  <dimension ref="A1:F35"/>
  <sheetViews>
    <sheetView view="pageLayout" topLeftCell="A13" workbookViewId="0">
      <selection activeCell="D47" sqref="D47:D49"/>
    </sheetView>
  </sheetViews>
  <sheetFormatPr defaultRowHeight="12.75"/>
  <cols>
    <col min="1" max="1" width="7" customWidth="1"/>
    <col min="2" max="2" width="7.42578125" customWidth="1"/>
    <col min="3" max="3" width="36.42578125" customWidth="1"/>
    <col min="4" max="4" width="14.85546875" customWidth="1"/>
    <col min="5" max="5" width="13.140625" customWidth="1"/>
    <col min="6" max="6" width="7.85546875" customWidth="1"/>
  </cols>
  <sheetData>
    <row r="1" spans="1:6">
      <c r="E1" s="622" t="s">
        <v>326</v>
      </c>
      <c r="F1" s="622"/>
    </row>
    <row r="3" spans="1:6" ht="15.75" customHeight="1">
      <c r="A3" s="623" t="s">
        <v>204</v>
      </c>
      <c r="B3" s="623"/>
      <c r="C3" s="623"/>
      <c r="D3" s="623"/>
      <c r="E3" s="623"/>
      <c r="F3" s="623"/>
    </row>
    <row r="4" spans="1:6" ht="15.75" customHeight="1">
      <c r="A4" s="623" t="s">
        <v>215</v>
      </c>
      <c r="B4" s="623"/>
      <c r="C4" s="623"/>
      <c r="D4" s="623"/>
      <c r="E4" s="623"/>
      <c r="F4" s="623"/>
    </row>
    <row r="5" spans="1:6" ht="15.75" customHeight="1">
      <c r="A5" s="624" t="s">
        <v>214</v>
      </c>
      <c r="B5" s="624"/>
      <c r="C5" s="624"/>
      <c r="D5" s="624"/>
      <c r="E5" s="624"/>
      <c r="F5" s="624"/>
    </row>
    <row r="6" spans="1:6" ht="15.75" customHeight="1">
      <c r="A6" s="624" t="s">
        <v>353</v>
      </c>
      <c r="B6" s="624"/>
      <c r="C6" s="624"/>
      <c r="D6" s="624"/>
      <c r="E6" s="624"/>
      <c r="F6" s="624"/>
    </row>
    <row r="7" spans="1:6">
      <c r="A7" s="103"/>
      <c r="B7" s="103"/>
      <c r="C7" s="103"/>
      <c r="E7" s="102" t="s">
        <v>168</v>
      </c>
    </row>
    <row r="8" spans="1:6">
      <c r="A8" s="620" t="s">
        <v>192</v>
      </c>
      <c r="B8" s="620" t="s">
        <v>63</v>
      </c>
      <c r="C8" s="137" t="s">
        <v>216</v>
      </c>
      <c r="D8" s="620" t="s">
        <v>263</v>
      </c>
      <c r="E8" s="620" t="s">
        <v>128</v>
      </c>
      <c r="F8" s="621" t="s">
        <v>138</v>
      </c>
    </row>
    <row r="9" spans="1:6">
      <c r="A9" s="620"/>
      <c r="B9" s="620"/>
      <c r="C9" s="126" t="s">
        <v>217</v>
      </c>
      <c r="D9" s="620"/>
      <c r="E9" s="620"/>
      <c r="F9" s="621"/>
    </row>
    <row r="10" spans="1:6">
      <c r="A10" s="45">
        <v>1</v>
      </c>
      <c r="B10" s="45">
        <v>2</v>
      </c>
      <c r="C10" s="45">
        <v>3</v>
      </c>
      <c r="D10" s="45">
        <v>4</v>
      </c>
      <c r="E10" s="45">
        <v>5</v>
      </c>
      <c r="F10" s="45">
        <v>6</v>
      </c>
    </row>
    <row r="11" spans="1:6">
      <c r="A11" s="104" t="s">
        <v>205</v>
      </c>
      <c r="B11" s="104" t="s">
        <v>206</v>
      </c>
      <c r="C11" s="138" t="s">
        <v>207</v>
      </c>
      <c r="D11" s="277">
        <v>145982.49</v>
      </c>
      <c r="E11" s="133">
        <v>145982.49</v>
      </c>
      <c r="F11" s="281">
        <f>E11/D11*100</f>
        <v>100</v>
      </c>
    </row>
    <row r="12" spans="1:6">
      <c r="A12" s="105"/>
      <c r="B12" s="105"/>
      <c r="C12" s="137"/>
      <c r="D12" s="278"/>
      <c r="E12" s="87"/>
      <c r="F12" s="62"/>
    </row>
    <row r="13" spans="1:6">
      <c r="A13" s="104" t="s">
        <v>208</v>
      </c>
      <c r="B13" s="104" t="s">
        <v>206</v>
      </c>
      <c r="C13" s="138" t="s">
        <v>11</v>
      </c>
      <c r="D13" s="88">
        <f>D15+D16+D17</f>
        <v>559500</v>
      </c>
      <c r="E13" s="133">
        <f>E14+E15+E16+E17</f>
        <v>753071.76</v>
      </c>
      <c r="F13" s="281">
        <f>E13/D13*100</f>
        <v>134.59727613941018</v>
      </c>
    </row>
    <row r="14" spans="1:6">
      <c r="A14" s="215"/>
      <c r="B14" s="140" t="s">
        <v>37</v>
      </c>
      <c r="C14" s="137" t="s">
        <v>38</v>
      </c>
      <c r="D14" s="88"/>
      <c r="E14" s="87">
        <v>255.2</v>
      </c>
      <c r="F14" s="282"/>
    </row>
    <row r="15" spans="1:6">
      <c r="A15" s="215"/>
      <c r="B15" s="140" t="s">
        <v>55</v>
      </c>
      <c r="C15" s="137" t="s">
        <v>57</v>
      </c>
      <c r="D15" s="279">
        <v>450000</v>
      </c>
      <c r="E15" s="87">
        <v>701405.5</v>
      </c>
      <c r="F15" s="282">
        <f>E15/D15*100</f>
        <v>155.8678888888889</v>
      </c>
    </row>
    <row r="16" spans="1:6">
      <c r="A16" s="273"/>
      <c r="B16" s="140" t="s">
        <v>49</v>
      </c>
      <c r="C16" s="137" t="s">
        <v>59</v>
      </c>
      <c r="D16" s="279">
        <v>7500</v>
      </c>
      <c r="E16" s="87">
        <v>5411.06</v>
      </c>
      <c r="F16" s="282">
        <f>E16/D16*100</f>
        <v>72.147466666666674</v>
      </c>
    </row>
    <row r="17" spans="1:6">
      <c r="A17" s="273"/>
      <c r="B17" s="105">
        <v>2960</v>
      </c>
      <c r="C17" s="137" t="s">
        <v>220</v>
      </c>
      <c r="D17" s="279">
        <v>102000</v>
      </c>
      <c r="E17" s="87">
        <v>46000</v>
      </c>
      <c r="F17" s="282">
        <f>E17/D17*100</f>
        <v>45.098039215686278</v>
      </c>
    </row>
    <row r="18" spans="1:6">
      <c r="A18" s="105"/>
      <c r="B18" s="137"/>
      <c r="C18" s="137"/>
      <c r="D18" s="278"/>
      <c r="E18" s="87"/>
      <c r="F18" s="282"/>
    </row>
    <row r="19" spans="1:6">
      <c r="A19" s="104" t="s">
        <v>210</v>
      </c>
      <c r="B19" s="104" t="s">
        <v>206</v>
      </c>
      <c r="C19" s="138" t="s">
        <v>211</v>
      </c>
      <c r="D19" s="88">
        <f>D20+D33</f>
        <v>705482.49</v>
      </c>
      <c r="E19" s="133">
        <f>E20+E33</f>
        <v>645650.28999999992</v>
      </c>
      <c r="F19" s="281">
        <f t="shared" ref="F19:F34" si="0">E19/D19*100</f>
        <v>91.518967394924275</v>
      </c>
    </row>
    <row r="20" spans="1:6">
      <c r="A20" s="104">
        <v>1</v>
      </c>
      <c r="B20" s="104"/>
      <c r="C20" s="138" t="s">
        <v>8</v>
      </c>
      <c r="D20" s="88">
        <f>SUM(D21:D32)</f>
        <v>630482.49</v>
      </c>
      <c r="E20" s="133">
        <f>SUM(E21:E32)</f>
        <v>570650.28999999992</v>
      </c>
      <c r="F20" s="281">
        <f t="shared" si="0"/>
        <v>90.510093309649235</v>
      </c>
    </row>
    <row r="21" spans="1:6" ht="38.25">
      <c r="A21" s="215"/>
      <c r="B21" s="105">
        <v>2440</v>
      </c>
      <c r="C21" s="46" t="s">
        <v>221</v>
      </c>
      <c r="D21" s="278">
        <v>248805</v>
      </c>
      <c r="E21" s="87">
        <v>176805</v>
      </c>
      <c r="F21" s="282">
        <f t="shared" si="0"/>
        <v>71.061674805570632</v>
      </c>
    </row>
    <row r="22" spans="1:6">
      <c r="A22" s="215"/>
      <c r="B22" s="105">
        <v>2960</v>
      </c>
      <c r="C22" s="46" t="s">
        <v>220</v>
      </c>
      <c r="D22" s="279">
        <v>90000</v>
      </c>
      <c r="E22" s="87">
        <v>146672.82</v>
      </c>
      <c r="F22" s="282">
        <f t="shared" si="0"/>
        <v>162.96980000000002</v>
      </c>
    </row>
    <row r="23" spans="1:6">
      <c r="A23" s="215"/>
      <c r="B23" s="215">
        <v>4110</v>
      </c>
      <c r="C23" s="137" t="s">
        <v>172</v>
      </c>
      <c r="D23" s="279">
        <v>1200</v>
      </c>
      <c r="E23" s="87">
        <v>946.02</v>
      </c>
      <c r="F23" s="282">
        <f t="shared" si="0"/>
        <v>78.834999999999994</v>
      </c>
    </row>
    <row r="24" spans="1:6">
      <c r="A24" s="215"/>
      <c r="B24" s="215">
        <v>4120</v>
      </c>
      <c r="C24" s="137" t="s">
        <v>177</v>
      </c>
      <c r="D24" s="279">
        <v>150</v>
      </c>
      <c r="E24" s="87">
        <v>140.72999999999999</v>
      </c>
      <c r="F24" s="282">
        <f t="shared" si="0"/>
        <v>93.82</v>
      </c>
    </row>
    <row r="25" spans="1:6">
      <c r="A25" s="215"/>
      <c r="B25" s="105">
        <v>4170</v>
      </c>
      <c r="C25" s="46" t="s">
        <v>173</v>
      </c>
      <c r="D25" s="279">
        <v>17400</v>
      </c>
      <c r="E25" s="87">
        <v>14762</v>
      </c>
      <c r="F25" s="282">
        <f t="shared" si="0"/>
        <v>84.839080459770116</v>
      </c>
    </row>
    <row r="26" spans="1:6">
      <c r="A26" s="215"/>
      <c r="B26" s="105">
        <v>4210</v>
      </c>
      <c r="C26" s="46" t="s">
        <v>174</v>
      </c>
      <c r="D26" s="279">
        <v>15000</v>
      </c>
      <c r="E26" s="87">
        <v>11852.62</v>
      </c>
      <c r="F26" s="282">
        <f t="shared" si="0"/>
        <v>79.017466666666664</v>
      </c>
    </row>
    <row r="27" spans="1:6">
      <c r="A27" s="215"/>
      <c r="B27" s="105">
        <v>4270</v>
      </c>
      <c r="C27" s="46" t="s">
        <v>175</v>
      </c>
      <c r="D27" s="279">
        <v>4000</v>
      </c>
      <c r="E27" s="89">
        <v>1012.6</v>
      </c>
      <c r="F27" s="282">
        <f t="shared" si="0"/>
        <v>25.314999999999998</v>
      </c>
    </row>
    <row r="28" spans="1:6">
      <c r="A28" s="215"/>
      <c r="B28" s="105">
        <v>4300</v>
      </c>
      <c r="C28" s="46" t="s">
        <v>170</v>
      </c>
      <c r="D28" s="279">
        <v>223627.49</v>
      </c>
      <c r="E28" s="89">
        <v>205662.39</v>
      </c>
      <c r="F28" s="282">
        <f t="shared" si="0"/>
        <v>91.966506443371529</v>
      </c>
    </row>
    <row r="29" spans="1:6">
      <c r="A29" s="215"/>
      <c r="B29" s="105">
        <v>4610</v>
      </c>
      <c r="C29" s="230" t="s">
        <v>171</v>
      </c>
      <c r="D29" s="279">
        <v>300</v>
      </c>
      <c r="E29" s="280">
        <v>4.37</v>
      </c>
      <c r="F29" s="282">
        <f t="shared" si="0"/>
        <v>1.4566666666666668</v>
      </c>
    </row>
    <row r="30" spans="1:6" ht="25.5">
      <c r="A30" s="215"/>
      <c r="B30" s="105">
        <v>4700</v>
      </c>
      <c r="C30" s="46" t="s">
        <v>176</v>
      </c>
      <c r="D30" s="279">
        <v>8000</v>
      </c>
      <c r="E30" s="89">
        <v>7925</v>
      </c>
      <c r="F30" s="282">
        <f t="shared" si="0"/>
        <v>99.0625</v>
      </c>
    </row>
    <row r="31" spans="1:6" ht="25.5">
      <c r="A31" s="215"/>
      <c r="B31" s="105">
        <v>4740</v>
      </c>
      <c r="C31" s="46" t="s">
        <v>222</v>
      </c>
      <c r="D31" s="279">
        <v>13000</v>
      </c>
      <c r="E31" s="89">
        <v>3763.46</v>
      </c>
      <c r="F31" s="282">
        <f t="shared" si="0"/>
        <v>28.94969230769231</v>
      </c>
    </row>
    <row r="32" spans="1:6" ht="25.5">
      <c r="A32" s="215"/>
      <c r="B32" s="105">
        <v>4750</v>
      </c>
      <c r="C32" s="46" t="s">
        <v>223</v>
      </c>
      <c r="D32" s="279">
        <v>9000</v>
      </c>
      <c r="E32" s="89">
        <v>1103.28</v>
      </c>
      <c r="F32" s="282">
        <f t="shared" si="0"/>
        <v>12.258666666666667</v>
      </c>
    </row>
    <row r="33" spans="1:6">
      <c r="A33" s="104">
        <v>2</v>
      </c>
      <c r="B33" s="138"/>
      <c r="C33" s="138" t="s">
        <v>150</v>
      </c>
      <c r="D33" s="277">
        <f>D34</f>
        <v>75000</v>
      </c>
      <c r="E33" s="139">
        <f>E34</f>
        <v>75000</v>
      </c>
      <c r="F33" s="283">
        <v>0</v>
      </c>
    </row>
    <row r="34" spans="1:6">
      <c r="A34" s="215"/>
      <c r="B34" s="214">
        <v>6120</v>
      </c>
      <c r="C34" s="137" t="s">
        <v>247</v>
      </c>
      <c r="D34" s="278">
        <v>75000</v>
      </c>
      <c r="E34" s="142">
        <v>75000</v>
      </c>
      <c r="F34" s="282">
        <f t="shared" si="0"/>
        <v>100</v>
      </c>
    </row>
    <row r="35" spans="1:6">
      <c r="A35" s="104" t="s">
        <v>212</v>
      </c>
      <c r="B35" s="104" t="s">
        <v>206</v>
      </c>
      <c r="C35" s="138" t="s">
        <v>213</v>
      </c>
      <c r="D35" s="277">
        <v>0</v>
      </c>
      <c r="E35" s="143">
        <v>253403.96</v>
      </c>
      <c r="F35" s="281">
        <v>0</v>
      </c>
    </row>
  </sheetData>
  <mergeCells count="10">
    <mergeCell ref="E1:F1"/>
    <mergeCell ref="A3:F3"/>
    <mergeCell ref="A4:F4"/>
    <mergeCell ref="A5:F5"/>
    <mergeCell ref="A6:F6"/>
    <mergeCell ref="E8:E9"/>
    <mergeCell ref="F8:F9"/>
    <mergeCell ref="A8:A9"/>
    <mergeCell ref="B8:B9"/>
    <mergeCell ref="D8:D9"/>
  </mergeCells>
  <pageMargins left="0.8125" right="0.7" top="0.75" bottom="0.75" header="0.3" footer="0.3"/>
  <pageSetup paperSize="9" orientation="portrait" r:id="rId1"/>
  <headerFooter>
    <oddFooter>&amp;C&amp;"Times New (W1),Standardowy"Tabela Nr 5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dimension ref="A1:I89"/>
  <sheetViews>
    <sheetView view="pageLayout" topLeftCell="A7" workbookViewId="0">
      <selection activeCell="E33" sqref="E33"/>
    </sheetView>
  </sheetViews>
  <sheetFormatPr defaultRowHeight="12.75"/>
  <cols>
    <col min="1" max="1" width="4.85546875" style="44" customWidth="1"/>
    <col min="2" max="2" width="6.42578125" style="44" customWidth="1"/>
    <col min="3" max="3" width="7.28515625" style="44" customWidth="1"/>
    <col min="4" max="4" width="6.28515625" style="44" customWidth="1"/>
    <col min="5" max="5" width="29.5703125" style="44" customWidth="1"/>
    <col min="6" max="6" width="11.85546875" style="44" customWidth="1"/>
    <col min="7" max="7" width="12.140625" style="44" customWidth="1"/>
    <col min="8" max="16384" width="9.140625" style="44"/>
  </cols>
  <sheetData>
    <row r="1" spans="1:9">
      <c r="G1" s="622" t="s">
        <v>328</v>
      </c>
      <c r="H1" s="622"/>
    </row>
    <row r="4" spans="1:9" ht="15.75" customHeight="1">
      <c r="A4" s="625" t="s">
        <v>195</v>
      </c>
      <c r="B4" s="625"/>
      <c r="C4" s="625"/>
      <c r="D4" s="625"/>
      <c r="E4" s="625"/>
      <c r="F4" s="625"/>
      <c r="G4" s="625"/>
      <c r="H4" s="625"/>
    </row>
    <row r="5" spans="1:9" ht="15.75" customHeight="1">
      <c r="A5" s="625" t="s">
        <v>196</v>
      </c>
      <c r="B5" s="625"/>
      <c r="C5" s="625"/>
      <c r="D5" s="625"/>
      <c r="E5" s="625"/>
      <c r="F5" s="625"/>
      <c r="G5" s="625"/>
      <c r="H5" s="625"/>
    </row>
    <row r="6" spans="1:9" ht="15.75" customHeight="1">
      <c r="A6" s="625" t="s">
        <v>353</v>
      </c>
      <c r="B6" s="625"/>
      <c r="C6" s="625"/>
      <c r="D6" s="625"/>
      <c r="E6" s="625"/>
      <c r="F6" s="625"/>
      <c r="G6" s="625"/>
      <c r="H6" s="625"/>
    </row>
    <row r="7" spans="1:9" ht="15.75">
      <c r="A7" s="119"/>
      <c r="B7" s="119"/>
      <c r="C7" s="119"/>
      <c r="D7" s="119"/>
      <c r="E7" s="120"/>
      <c r="F7" s="101"/>
    </row>
    <row r="8" spans="1:9" ht="15.75" customHeight="1">
      <c r="A8" s="328"/>
      <c r="B8" s="328"/>
      <c r="C8" s="328"/>
      <c r="D8" s="328"/>
      <c r="E8" s="328"/>
      <c r="G8" s="329" t="s">
        <v>168</v>
      </c>
    </row>
    <row r="9" spans="1:9" ht="25.5">
      <c r="A9" s="333" t="s">
        <v>192</v>
      </c>
      <c r="B9" s="333" t="s">
        <v>0</v>
      </c>
      <c r="C9" s="333" t="s">
        <v>7</v>
      </c>
      <c r="D9" s="333" t="s">
        <v>63</v>
      </c>
      <c r="E9" s="333" t="s">
        <v>306</v>
      </c>
      <c r="F9" s="334" t="s">
        <v>325</v>
      </c>
      <c r="G9" s="335" t="s">
        <v>324</v>
      </c>
      <c r="H9" s="335" t="s">
        <v>138</v>
      </c>
    </row>
    <row r="10" spans="1:9">
      <c r="A10" s="330">
        <v>1</v>
      </c>
      <c r="B10" s="330">
        <v>2</v>
      </c>
      <c r="C10" s="330">
        <v>3</v>
      </c>
      <c r="D10" s="330">
        <v>4</v>
      </c>
      <c r="E10" s="330">
        <v>5</v>
      </c>
      <c r="F10" s="330">
        <v>6</v>
      </c>
      <c r="G10" s="330">
        <v>7</v>
      </c>
      <c r="H10" s="330">
        <v>8</v>
      </c>
    </row>
    <row r="11" spans="1:9" ht="27" customHeight="1">
      <c r="A11" s="331">
        <v>1</v>
      </c>
      <c r="B11" s="331">
        <v>801</v>
      </c>
      <c r="C11" s="331">
        <v>80120</v>
      </c>
      <c r="D11" s="331">
        <v>2540</v>
      </c>
      <c r="E11" s="332" t="s">
        <v>307</v>
      </c>
      <c r="F11" s="337">
        <v>54685</v>
      </c>
      <c r="G11" s="336">
        <v>49266.2</v>
      </c>
      <c r="H11" s="47">
        <f>G11/F11*100</f>
        <v>90.090884154704213</v>
      </c>
      <c r="I11" s="210"/>
    </row>
    <row r="12" spans="1:9" ht="26.25" customHeight="1">
      <c r="A12" s="331">
        <v>2</v>
      </c>
      <c r="B12" s="331">
        <v>801</v>
      </c>
      <c r="C12" s="331">
        <v>80120</v>
      </c>
      <c r="D12" s="331">
        <v>2540</v>
      </c>
      <c r="E12" s="332" t="s">
        <v>308</v>
      </c>
      <c r="F12" s="337">
        <v>5000</v>
      </c>
      <c r="G12" s="336">
        <v>0</v>
      </c>
      <c r="H12" s="47">
        <f t="shared" ref="H12:H26" si="0">G12/F12*100</f>
        <v>0</v>
      </c>
    </row>
    <row r="13" spans="1:9" ht="27" customHeight="1">
      <c r="A13" s="331">
        <v>3</v>
      </c>
      <c r="B13" s="331">
        <v>801</v>
      </c>
      <c r="C13" s="331">
        <v>80120</v>
      </c>
      <c r="D13" s="331">
        <v>2540</v>
      </c>
      <c r="E13" s="332" t="s">
        <v>309</v>
      </c>
      <c r="F13" s="337">
        <v>215500</v>
      </c>
      <c r="G13" s="336">
        <v>214448.52</v>
      </c>
      <c r="H13" s="47">
        <f t="shared" si="0"/>
        <v>99.512074245939672</v>
      </c>
    </row>
    <row r="14" spans="1:9" s="210" customFormat="1" ht="24.75" customHeight="1">
      <c r="A14" s="331">
        <v>4</v>
      </c>
      <c r="B14" s="331">
        <v>801</v>
      </c>
      <c r="C14" s="331">
        <v>80120</v>
      </c>
      <c r="D14" s="331">
        <v>2540</v>
      </c>
      <c r="E14" s="332" t="s">
        <v>310</v>
      </c>
      <c r="F14" s="337">
        <v>211756</v>
      </c>
      <c r="G14" s="336">
        <v>195938</v>
      </c>
      <c r="H14" s="47">
        <f t="shared" si="0"/>
        <v>92.530081792251465</v>
      </c>
      <c r="I14" s="44"/>
    </row>
    <row r="15" spans="1:9" ht="25.5" customHeight="1">
      <c r="A15" s="331">
        <v>5</v>
      </c>
      <c r="B15" s="331">
        <v>801</v>
      </c>
      <c r="C15" s="331">
        <v>80120</v>
      </c>
      <c r="D15" s="331">
        <v>2540</v>
      </c>
      <c r="E15" s="332" t="s">
        <v>311</v>
      </c>
      <c r="F15" s="337">
        <v>127259</v>
      </c>
      <c r="G15" s="336">
        <v>116060.4</v>
      </c>
      <c r="H15" s="47">
        <f t="shared" si="0"/>
        <v>91.200150873415637</v>
      </c>
    </row>
    <row r="16" spans="1:9" ht="25.5">
      <c r="A16" s="331">
        <v>6</v>
      </c>
      <c r="B16" s="331">
        <v>801</v>
      </c>
      <c r="C16" s="331">
        <v>80123</v>
      </c>
      <c r="D16" s="331">
        <v>2540</v>
      </c>
      <c r="E16" s="332" t="s">
        <v>312</v>
      </c>
      <c r="F16" s="337">
        <v>158311</v>
      </c>
      <c r="G16" s="336">
        <v>153621.29999999999</v>
      </c>
      <c r="H16" s="47">
        <f t="shared" si="0"/>
        <v>97.037666365571567</v>
      </c>
      <c r="I16" s="210"/>
    </row>
    <row r="17" spans="1:9" ht="25.5">
      <c r="A17" s="331">
        <v>7</v>
      </c>
      <c r="B17" s="331">
        <v>801</v>
      </c>
      <c r="C17" s="331">
        <v>80123</v>
      </c>
      <c r="D17" s="331">
        <v>2540</v>
      </c>
      <c r="E17" s="332" t="s">
        <v>166</v>
      </c>
      <c r="F17" s="337">
        <v>164689</v>
      </c>
      <c r="G17" s="336">
        <v>143681.24</v>
      </c>
      <c r="H17" s="47">
        <f t="shared" si="0"/>
        <v>87.243981079489203</v>
      </c>
      <c r="I17" s="213"/>
    </row>
    <row r="18" spans="1:9">
      <c r="A18" s="331">
        <v>8</v>
      </c>
      <c r="B18" s="331">
        <v>801</v>
      </c>
      <c r="C18" s="331">
        <v>80130</v>
      </c>
      <c r="D18" s="331">
        <v>2540</v>
      </c>
      <c r="E18" s="332" t="s">
        <v>165</v>
      </c>
      <c r="F18" s="337">
        <v>132420</v>
      </c>
      <c r="G18" s="336">
        <v>127416.1</v>
      </c>
      <c r="H18" s="47">
        <f t="shared" si="0"/>
        <v>96.221190152544935</v>
      </c>
    </row>
    <row r="19" spans="1:9" s="210" customFormat="1" ht="25.5">
      <c r="A19" s="331">
        <v>9</v>
      </c>
      <c r="B19" s="331">
        <v>801</v>
      </c>
      <c r="C19" s="331">
        <v>80130</v>
      </c>
      <c r="D19" s="331">
        <v>2540</v>
      </c>
      <c r="E19" s="332" t="s">
        <v>167</v>
      </c>
      <c r="F19" s="337">
        <v>192680</v>
      </c>
      <c r="G19" s="336">
        <v>184372.3</v>
      </c>
      <c r="H19" s="47">
        <f t="shared" si="0"/>
        <v>95.688343367241018</v>
      </c>
      <c r="I19" s="44"/>
    </row>
    <row r="20" spans="1:9" s="213" customFormat="1" ht="38.25">
      <c r="A20" s="331">
        <v>10</v>
      </c>
      <c r="B20" s="331">
        <v>801</v>
      </c>
      <c r="C20" s="331">
        <v>80144</v>
      </c>
      <c r="D20" s="331">
        <v>2540</v>
      </c>
      <c r="E20" s="332" t="s">
        <v>241</v>
      </c>
      <c r="F20" s="337">
        <v>230000</v>
      </c>
      <c r="G20" s="336">
        <v>220860.32</v>
      </c>
      <c r="H20" s="47">
        <f t="shared" si="0"/>
        <v>96.026226086956527</v>
      </c>
      <c r="I20" s="101"/>
    </row>
    <row r="21" spans="1:9" s="276" customFormat="1">
      <c r="A21" s="331">
        <v>11</v>
      </c>
      <c r="B21" s="331">
        <v>851</v>
      </c>
      <c r="C21" s="331">
        <v>85111</v>
      </c>
      <c r="D21" s="331">
        <v>2560</v>
      </c>
      <c r="E21" s="332" t="s">
        <v>329</v>
      </c>
      <c r="F21" s="337">
        <v>25000</v>
      </c>
      <c r="G21" s="336">
        <v>25000</v>
      </c>
      <c r="H21" s="47">
        <f>G21/F21*100</f>
        <v>100</v>
      </c>
    </row>
    <row r="22" spans="1:9" s="276" customFormat="1" ht="25.5">
      <c r="A22" s="331">
        <v>12</v>
      </c>
      <c r="B22" s="331">
        <v>853</v>
      </c>
      <c r="C22" s="331">
        <v>85311</v>
      </c>
      <c r="D22" s="331">
        <v>2580</v>
      </c>
      <c r="E22" s="332" t="s">
        <v>193</v>
      </c>
      <c r="F22" s="337">
        <v>62264</v>
      </c>
      <c r="G22" s="336">
        <v>62264</v>
      </c>
      <c r="H22" s="47">
        <f>G22/F22*100</f>
        <v>100</v>
      </c>
    </row>
    <row r="23" spans="1:9" ht="27.75" customHeight="1">
      <c r="A23" s="331">
        <v>13</v>
      </c>
      <c r="B23" s="331">
        <v>854</v>
      </c>
      <c r="C23" s="331">
        <v>85419</v>
      </c>
      <c r="D23" s="331">
        <v>2540</v>
      </c>
      <c r="E23" s="332" t="s">
        <v>194</v>
      </c>
      <c r="F23" s="337">
        <v>1163315</v>
      </c>
      <c r="G23" s="336">
        <v>1148813.77</v>
      </c>
      <c r="H23" s="47">
        <f t="shared" si="0"/>
        <v>98.753456286560393</v>
      </c>
      <c r="I23" s="101"/>
    </row>
    <row r="24" spans="1:9" s="101" customFormat="1" ht="63.75">
      <c r="A24" s="331">
        <v>14</v>
      </c>
      <c r="B24" s="331">
        <v>921</v>
      </c>
      <c r="C24" s="331">
        <v>92195</v>
      </c>
      <c r="D24" s="331">
        <v>2580</v>
      </c>
      <c r="E24" s="332" t="s">
        <v>313</v>
      </c>
      <c r="F24" s="337">
        <v>70000</v>
      </c>
      <c r="G24" s="336">
        <v>44820</v>
      </c>
      <c r="H24" s="47">
        <f t="shared" si="0"/>
        <v>64.028571428571425</v>
      </c>
      <c r="I24" s="44"/>
    </row>
    <row r="25" spans="1:9" s="101" customFormat="1" ht="25.5">
      <c r="A25" s="331">
        <v>15</v>
      </c>
      <c r="B25" s="331">
        <v>926</v>
      </c>
      <c r="C25" s="331">
        <v>92695</v>
      </c>
      <c r="D25" s="331">
        <v>2580</v>
      </c>
      <c r="E25" s="332" t="s">
        <v>314</v>
      </c>
      <c r="F25" s="337">
        <v>30000</v>
      </c>
      <c r="G25" s="336">
        <v>30000</v>
      </c>
      <c r="H25" s="47">
        <f t="shared" si="0"/>
        <v>100</v>
      </c>
      <c r="I25" s="44"/>
    </row>
    <row r="26" spans="1:9">
      <c r="A26" s="626" t="s">
        <v>163</v>
      </c>
      <c r="B26" s="626"/>
      <c r="C26" s="626"/>
      <c r="D26" s="626"/>
      <c r="E26" s="626"/>
      <c r="F26" s="338">
        <f>SUM(F11:F25)</f>
        <v>2842879</v>
      </c>
      <c r="G26" s="339">
        <f>SUM(G11:G25)</f>
        <v>2716562.15</v>
      </c>
      <c r="H26" s="125">
        <f t="shared" si="0"/>
        <v>95.556727880433883</v>
      </c>
    </row>
    <row r="27" spans="1:9" ht="15">
      <c r="A27" s="326"/>
      <c r="B27"/>
      <c r="C27"/>
      <c r="D27"/>
      <c r="E27"/>
      <c r="F27"/>
    </row>
    <row r="28" spans="1:9" ht="15">
      <c r="A28" s="326"/>
      <c r="B28"/>
      <c r="C28"/>
      <c r="D28"/>
      <c r="E28"/>
      <c r="F28"/>
    </row>
    <row r="29" spans="1:9" ht="15">
      <c r="A29" s="326"/>
      <c r="B29"/>
      <c r="C29"/>
      <c r="D29"/>
      <c r="E29"/>
      <c r="F29"/>
    </row>
    <row r="30" spans="1:9" ht="15">
      <c r="A30" s="326"/>
      <c r="B30"/>
      <c r="C30"/>
      <c r="D30"/>
      <c r="E30"/>
      <c r="F30"/>
    </row>
    <row r="31" spans="1:9" ht="15">
      <c r="A31" s="326"/>
      <c r="B31"/>
      <c r="C31"/>
      <c r="D31"/>
      <c r="E31"/>
      <c r="F31"/>
    </row>
    <row r="32" spans="1:9" ht="15">
      <c r="A32" s="326"/>
      <c r="B32"/>
      <c r="C32"/>
      <c r="D32"/>
      <c r="E32"/>
      <c r="F32"/>
    </row>
    <row r="33" spans="1:6" ht="15">
      <c r="A33" s="326"/>
      <c r="B33"/>
      <c r="C33"/>
      <c r="D33"/>
      <c r="E33"/>
      <c r="F33"/>
    </row>
    <row r="34" spans="1:6" ht="15">
      <c r="A34" s="326"/>
      <c r="B34"/>
      <c r="C34"/>
      <c r="D34"/>
      <c r="E34"/>
      <c r="F34"/>
    </row>
    <row r="35" spans="1:6" ht="15">
      <c r="A35" s="326"/>
      <c r="B35"/>
      <c r="C35"/>
      <c r="D35"/>
      <c r="E35"/>
      <c r="F35"/>
    </row>
    <row r="36" spans="1:6" ht="15">
      <c r="A36" s="326"/>
      <c r="B36"/>
      <c r="C36"/>
      <c r="D36"/>
      <c r="E36"/>
      <c r="F36"/>
    </row>
    <row r="37" spans="1:6" ht="15">
      <c r="A37" s="326"/>
      <c r="B37"/>
      <c r="C37"/>
      <c r="D37"/>
      <c r="E37"/>
      <c r="F37"/>
    </row>
    <row r="38" spans="1:6" ht="15">
      <c r="A38" s="326"/>
      <c r="B38"/>
      <c r="C38"/>
      <c r="D38"/>
      <c r="E38"/>
      <c r="F38"/>
    </row>
    <row r="39" spans="1:6" ht="15">
      <c r="A39" s="326"/>
      <c r="B39"/>
      <c r="C39"/>
      <c r="D39"/>
      <c r="E39"/>
      <c r="F39"/>
    </row>
    <row r="40" spans="1:6">
      <c r="F40"/>
    </row>
    <row r="41" spans="1:6">
      <c r="F41"/>
    </row>
    <row r="42" spans="1:6">
      <c r="F42"/>
    </row>
    <row r="43" spans="1:6">
      <c r="F43"/>
    </row>
    <row r="44" spans="1:6">
      <c r="F44"/>
    </row>
    <row r="45" spans="1:6">
      <c r="F45"/>
    </row>
    <row r="46" spans="1:6">
      <c r="F46"/>
    </row>
    <row r="47" spans="1:6">
      <c r="F47"/>
    </row>
    <row r="48" spans="1:6">
      <c r="F48"/>
    </row>
    <row r="49" spans="1:6">
      <c r="F49"/>
    </row>
    <row r="50" spans="1:6">
      <c r="F50"/>
    </row>
    <row r="51" spans="1:6">
      <c r="F51"/>
    </row>
    <row r="52" spans="1:6" ht="15.75" customHeight="1">
      <c r="F52"/>
    </row>
    <row r="53" spans="1:6" ht="15.75" customHeight="1">
      <c r="F53"/>
    </row>
    <row r="54" spans="1:6">
      <c r="F54"/>
    </row>
    <row r="55" spans="1:6">
      <c r="F55"/>
    </row>
    <row r="56" spans="1:6">
      <c r="F56"/>
    </row>
    <row r="57" spans="1:6" ht="15">
      <c r="A57" s="326"/>
      <c r="B57"/>
      <c r="C57"/>
      <c r="D57"/>
      <c r="E57"/>
      <c r="F57"/>
    </row>
    <row r="58" spans="1:6" ht="15">
      <c r="A58" s="326"/>
      <c r="B58"/>
      <c r="C58"/>
      <c r="D58"/>
      <c r="E58"/>
      <c r="F58"/>
    </row>
    <row r="59" spans="1:6" ht="15">
      <c r="A59" s="326"/>
      <c r="B59"/>
      <c r="C59"/>
      <c r="D59"/>
      <c r="E59"/>
      <c r="F59"/>
    </row>
    <row r="60" spans="1:6" ht="15">
      <c r="A60" s="326"/>
      <c r="B60"/>
      <c r="C60"/>
      <c r="D60"/>
      <c r="E60"/>
      <c r="F60"/>
    </row>
    <row r="61" spans="1:6" ht="15">
      <c r="A61" s="326"/>
      <c r="B61"/>
      <c r="C61"/>
      <c r="D61"/>
      <c r="E61"/>
      <c r="F61"/>
    </row>
    <row r="62" spans="1:6" ht="15">
      <c r="A62" s="326"/>
      <c r="B62"/>
      <c r="C62"/>
      <c r="D62"/>
      <c r="E62"/>
      <c r="F62"/>
    </row>
    <row r="63" spans="1:6" ht="15">
      <c r="A63" s="326"/>
      <c r="B63"/>
      <c r="C63"/>
      <c r="D63"/>
      <c r="E63"/>
      <c r="F63"/>
    </row>
    <row r="64" spans="1:6" ht="15">
      <c r="A64" s="326"/>
      <c r="B64"/>
      <c r="C64"/>
      <c r="D64"/>
      <c r="E64"/>
      <c r="F64"/>
    </row>
    <row r="65" spans="1:6" ht="15">
      <c r="A65" s="326"/>
      <c r="B65"/>
      <c r="C65"/>
      <c r="D65"/>
      <c r="E65"/>
      <c r="F65"/>
    </row>
    <row r="66" spans="1:6" ht="15">
      <c r="A66" s="326"/>
      <c r="B66"/>
      <c r="C66"/>
      <c r="D66"/>
      <c r="E66"/>
      <c r="F66"/>
    </row>
    <row r="67" spans="1:6" ht="15">
      <c r="A67" s="326"/>
      <c r="B67"/>
      <c r="C67"/>
      <c r="D67"/>
      <c r="E67"/>
      <c r="F67"/>
    </row>
    <row r="68" spans="1:6" ht="15">
      <c r="A68" s="326"/>
      <c r="B68"/>
      <c r="C68"/>
      <c r="D68"/>
      <c r="E68"/>
      <c r="F68"/>
    </row>
    <row r="69" spans="1:6" ht="15">
      <c r="A69" s="326"/>
      <c r="B69"/>
      <c r="C69"/>
      <c r="D69"/>
      <c r="E69"/>
      <c r="F69"/>
    </row>
    <row r="70" spans="1:6" ht="15">
      <c r="A70" s="326"/>
      <c r="B70"/>
      <c r="C70"/>
      <c r="D70"/>
      <c r="E70"/>
      <c r="F70"/>
    </row>
    <row r="71" spans="1:6" ht="15">
      <c r="A71" s="326"/>
      <c r="B71"/>
      <c r="C71"/>
      <c r="D71"/>
      <c r="E71"/>
      <c r="F71"/>
    </row>
    <row r="72" spans="1:6" ht="15">
      <c r="A72" s="326"/>
      <c r="B72"/>
      <c r="C72"/>
      <c r="D72"/>
      <c r="E72"/>
      <c r="F72"/>
    </row>
    <row r="73" spans="1:6" ht="15">
      <c r="A73" s="326"/>
      <c r="B73"/>
      <c r="C73"/>
      <c r="D73"/>
      <c r="E73"/>
      <c r="F73"/>
    </row>
    <row r="87" ht="15.75" customHeight="1"/>
    <row r="88" ht="15.75" customHeight="1"/>
    <row r="89" ht="15.75" customHeight="1"/>
  </sheetData>
  <mergeCells count="5">
    <mergeCell ref="A4:H4"/>
    <mergeCell ref="A5:H5"/>
    <mergeCell ref="A6:H6"/>
    <mergeCell ref="G1:H1"/>
    <mergeCell ref="A26:E26"/>
  </mergeCells>
  <pageMargins left="0.7" right="0.32" top="0.75" bottom="0.75" header="0.3" footer="0.3"/>
  <pageSetup paperSize="9" orientation="portrait" r:id="rId1"/>
  <headerFooter>
    <oddFooter>&amp;C&amp;"Times New (W1),Standardowy"Tabela Nr 6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H59"/>
  <sheetViews>
    <sheetView view="pageLayout" topLeftCell="A19" workbookViewId="0">
      <selection activeCell="E10" sqref="E10"/>
    </sheetView>
  </sheetViews>
  <sheetFormatPr defaultRowHeight="12.75"/>
  <cols>
    <col min="1" max="1" width="3.85546875" style="44" customWidth="1"/>
    <col min="2" max="2" width="5.28515625" style="44" customWidth="1"/>
    <col min="3" max="3" width="6.28515625" style="44" customWidth="1"/>
    <col min="4" max="4" width="5.28515625" style="44" customWidth="1"/>
    <col min="5" max="5" width="35.5703125" style="44" customWidth="1"/>
    <col min="6" max="6" width="12" style="44" customWidth="1"/>
    <col min="7" max="7" width="12.28515625" style="44" customWidth="1"/>
    <col min="8" max="8" width="6.85546875" style="44" customWidth="1"/>
    <col min="9" max="16384" width="9.140625" style="44"/>
  </cols>
  <sheetData>
    <row r="1" spans="1:8" ht="15.75" customHeight="1">
      <c r="G1" s="557" t="s">
        <v>338</v>
      </c>
      <c r="H1" s="557"/>
    </row>
    <row r="2" spans="1:8" ht="15.75" customHeight="1">
      <c r="A2" s="630" t="s">
        <v>315</v>
      </c>
      <c r="B2" s="630"/>
      <c r="C2" s="630"/>
      <c r="D2" s="630"/>
      <c r="E2" s="630"/>
      <c r="F2" s="630"/>
      <c r="G2" s="630"/>
      <c r="H2" s="630"/>
    </row>
    <row r="3" spans="1:8" ht="15.75" customHeight="1">
      <c r="A3" s="630" t="s">
        <v>197</v>
      </c>
      <c r="B3" s="630"/>
      <c r="C3" s="630"/>
      <c r="D3" s="630"/>
      <c r="E3" s="630"/>
      <c r="F3" s="630"/>
      <c r="G3" s="630"/>
      <c r="H3" s="630"/>
    </row>
    <row r="4" spans="1:8" ht="15.75" customHeight="1">
      <c r="A4" s="630" t="s">
        <v>200</v>
      </c>
      <c r="B4" s="630"/>
      <c r="C4" s="630"/>
      <c r="D4" s="630"/>
      <c r="E4" s="630"/>
      <c r="F4" s="630"/>
      <c r="G4" s="630"/>
      <c r="H4" s="630"/>
    </row>
    <row r="5" spans="1:8" s="101" customFormat="1" ht="15.75" customHeight="1">
      <c r="A5" s="630" t="s">
        <v>268</v>
      </c>
      <c r="B5" s="630"/>
      <c r="C5" s="630"/>
      <c r="D5" s="630"/>
      <c r="E5" s="630"/>
      <c r="F5" s="630"/>
      <c r="G5" s="630"/>
      <c r="H5" s="630"/>
    </row>
    <row r="6" spans="1:8" ht="15">
      <c r="A6" s="328"/>
      <c r="B6" s="328"/>
      <c r="C6" s="328"/>
      <c r="D6" s="328"/>
      <c r="E6" s="328"/>
      <c r="G6" s="329" t="s">
        <v>168</v>
      </c>
    </row>
    <row r="7" spans="1:8" ht="25.5">
      <c r="A7" s="333" t="s">
        <v>192</v>
      </c>
      <c r="B7" s="333" t="s">
        <v>0</v>
      </c>
      <c r="C7" s="333" t="s">
        <v>7</v>
      </c>
      <c r="D7" s="333" t="s">
        <v>63</v>
      </c>
      <c r="E7" s="333" t="s">
        <v>198</v>
      </c>
      <c r="F7" s="334" t="s">
        <v>325</v>
      </c>
      <c r="G7" s="335" t="s">
        <v>324</v>
      </c>
      <c r="H7" s="340" t="s">
        <v>138</v>
      </c>
    </row>
    <row r="8" spans="1:8">
      <c r="A8" s="341">
        <v>1</v>
      </c>
      <c r="B8" s="341">
        <v>2</v>
      </c>
      <c r="C8" s="341">
        <v>3</v>
      </c>
      <c r="D8" s="341">
        <v>4</v>
      </c>
      <c r="E8" s="341">
        <v>5</v>
      </c>
      <c r="F8" s="341">
        <v>6</v>
      </c>
      <c r="G8" s="341">
        <v>7</v>
      </c>
      <c r="H8" s="124">
        <v>8</v>
      </c>
    </row>
    <row r="9" spans="1:8" ht="53.25" customHeight="1">
      <c r="A9" s="349">
        <v>1</v>
      </c>
      <c r="B9" s="349">
        <v>852</v>
      </c>
      <c r="C9" s="349">
        <v>85201</v>
      </c>
      <c r="D9" s="349">
        <v>2320</v>
      </c>
      <c r="E9" s="332" t="s">
        <v>327</v>
      </c>
      <c r="F9" s="337">
        <v>99558.63</v>
      </c>
      <c r="G9" s="336">
        <v>95439.37</v>
      </c>
      <c r="H9" s="47">
        <f>G9/F9*100</f>
        <v>95.862478220120138</v>
      </c>
    </row>
    <row r="10" spans="1:8" ht="37.5" customHeight="1">
      <c r="A10" s="349">
        <v>2</v>
      </c>
      <c r="B10" s="349">
        <v>852</v>
      </c>
      <c r="C10" s="349">
        <v>85204</v>
      </c>
      <c r="D10" s="349">
        <v>2320</v>
      </c>
      <c r="E10" s="332" t="s">
        <v>199</v>
      </c>
      <c r="F10" s="337">
        <v>156101.92000000001</v>
      </c>
      <c r="G10" s="336">
        <v>153378.17000000001</v>
      </c>
      <c r="H10" s="47">
        <f t="shared" ref="H10:H18" si="0">G10/F10*100</f>
        <v>98.255146381287304</v>
      </c>
    </row>
    <row r="11" spans="1:8" ht="25.5">
      <c r="A11" s="349">
        <v>3</v>
      </c>
      <c r="B11" s="349">
        <v>853</v>
      </c>
      <c r="C11" s="349">
        <v>85311</v>
      </c>
      <c r="D11" s="349">
        <v>2310</v>
      </c>
      <c r="E11" s="332" t="s">
        <v>316</v>
      </c>
      <c r="F11" s="337">
        <v>43520</v>
      </c>
      <c r="G11" s="336">
        <v>43520</v>
      </c>
      <c r="H11" s="47">
        <f t="shared" si="0"/>
        <v>100</v>
      </c>
    </row>
    <row r="12" spans="1:8">
      <c r="A12" s="349">
        <v>4</v>
      </c>
      <c r="B12" s="349">
        <v>921</v>
      </c>
      <c r="C12" s="349">
        <v>92116</v>
      </c>
      <c r="D12" s="349">
        <v>2310</v>
      </c>
      <c r="E12" s="332" t="s">
        <v>317</v>
      </c>
      <c r="F12" s="337">
        <v>86500</v>
      </c>
      <c r="G12" s="336">
        <v>86500</v>
      </c>
      <c r="H12" s="47">
        <f t="shared" si="0"/>
        <v>100</v>
      </c>
    </row>
    <row r="13" spans="1:8" ht="25.5">
      <c r="A13" s="349">
        <v>5</v>
      </c>
      <c r="B13" s="349">
        <v>921</v>
      </c>
      <c r="C13" s="349">
        <v>92105</v>
      </c>
      <c r="D13" s="349">
        <v>2310</v>
      </c>
      <c r="E13" s="332" t="s">
        <v>318</v>
      </c>
      <c r="F13" s="337">
        <v>28500</v>
      </c>
      <c r="G13" s="336">
        <v>28500</v>
      </c>
      <c r="H13" s="47">
        <f t="shared" si="0"/>
        <v>100</v>
      </c>
    </row>
    <row r="14" spans="1:8">
      <c r="A14" s="631">
        <v>6</v>
      </c>
      <c r="B14" s="631">
        <v>853</v>
      </c>
      <c r="C14" s="631">
        <v>85395</v>
      </c>
      <c r="D14" s="632" t="s">
        <v>319</v>
      </c>
      <c r="E14" s="332" t="s">
        <v>320</v>
      </c>
      <c r="F14" s="394">
        <v>256070.7</v>
      </c>
      <c r="G14" s="393">
        <v>252816.14</v>
      </c>
      <c r="H14" s="47">
        <f t="shared" si="0"/>
        <v>98.729038503819453</v>
      </c>
    </row>
    <row r="15" spans="1:8">
      <c r="A15" s="631"/>
      <c r="B15" s="631"/>
      <c r="C15" s="631"/>
      <c r="D15" s="632"/>
      <c r="E15" s="332" t="s">
        <v>321</v>
      </c>
      <c r="F15" s="394">
        <v>164951.1</v>
      </c>
      <c r="G15" s="393">
        <v>164951.1</v>
      </c>
      <c r="H15" s="47">
        <f t="shared" si="0"/>
        <v>100</v>
      </c>
    </row>
    <row r="16" spans="1:8">
      <c r="A16" s="631"/>
      <c r="B16" s="631"/>
      <c r="C16" s="631"/>
      <c r="D16" s="632"/>
      <c r="E16" s="332" t="s">
        <v>322</v>
      </c>
      <c r="F16" s="394">
        <v>179436.6</v>
      </c>
      <c r="G16" s="393">
        <v>178237.53</v>
      </c>
      <c r="H16" s="47">
        <f t="shared" si="0"/>
        <v>99.331758403803903</v>
      </c>
    </row>
    <row r="17" spans="1:8">
      <c r="A17" s="631"/>
      <c r="B17" s="631"/>
      <c r="C17" s="631"/>
      <c r="D17" s="632"/>
      <c r="E17" s="332" t="s">
        <v>323</v>
      </c>
      <c r="F17" s="394">
        <v>193396.5</v>
      </c>
      <c r="G17" s="393">
        <v>193094.33</v>
      </c>
      <c r="H17" s="47">
        <f t="shared" si="0"/>
        <v>99.843756221027775</v>
      </c>
    </row>
    <row r="18" spans="1:8">
      <c r="A18" s="626" t="s">
        <v>163</v>
      </c>
      <c r="B18" s="626"/>
      <c r="C18" s="626"/>
      <c r="D18" s="626"/>
      <c r="E18" s="626"/>
      <c r="F18" s="338">
        <f>SUM(F9:F17)</f>
        <v>1208035.45</v>
      </c>
      <c r="G18" s="339">
        <f>SUM(G9:G17)</f>
        <v>1196436.6400000001</v>
      </c>
      <c r="H18" s="125">
        <f t="shared" si="0"/>
        <v>99.039861785513011</v>
      </c>
    </row>
    <row r="20" spans="1:8">
      <c r="A20" s="42"/>
      <c r="B20" s="42"/>
      <c r="C20" s="42"/>
      <c r="D20" s="42"/>
      <c r="E20" s="42"/>
      <c r="G20" s="633" t="s">
        <v>332</v>
      </c>
      <c r="H20" s="633"/>
    </row>
    <row r="21" spans="1:8" ht="15.75" customHeight="1">
      <c r="A21" s="617" t="s">
        <v>333</v>
      </c>
      <c r="B21" s="617"/>
      <c r="C21" s="617"/>
      <c r="D21" s="617"/>
      <c r="E21" s="617"/>
      <c r="F21" s="617"/>
      <c r="G21" s="617"/>
      <c r="H21" s="617"/>
    </row>
    <row r="22" spans="1:8" ht="15.75" customHeight="1">
      <c r="A22" s="617" t="s">
        <v>334</v>
      </c>
      <c r="B22" s="617"/>
      <c r="C22" s="617"/>
      <c r="D22" s="617"/>
      <c r="E22" s="617"/>
      <c r="F22" s="617"/>
      <c r="G22" s="617"/>
      <c r="H22" s="617"/>
    </row>
    <row r="23" spans="1:8" ht="15.75" customHeight="1">
      <c r="A23" s="617" t="s">
        <v>197</v>
      </c>
      <c r="B23" s="617"/>
      <c r="C23" s="617"/>
      <c r="D23" s="617"/>
      <c r="E23" s="617"/>
      <c r="F23" s="617"/>
      <c r="G23" s="617"/>
      <c r="H23" s="617"/>
    </row>
    <row r="24" spans="1:8" ht="15.75" customHeight="1">
      <c r="A24" s="617" t="s">
        <v>347</v>
      </c>
      <c r="B24" s="617"/>
      <c r="C24" s="617"/>
      <c r="D24" s="617"/>
      <c r="E24" s="617"/>
      <c r="F24" s="617"/>
      <c r="G24" s="617"/>
      <c r="H24" s="617"/>
    </row>
    <row r="25" spans="1:8" s="276" customFormat="1" ht="15.75" customHeight="1">
      <c r="A25" s="630" t="s">
        <v>268</v>
      </c>
      <c r="B25" s="630"/>
      <c r="C25" s="630"/>
      <c r="D25" s="630"/>
      <c r="E25" s="630"/>
      <c r="F25" s="630"/>
      <c r="G25" s="630"/>
      <c r="H25" s="630"/>
    </row>
    <row r="26" spans="1:8" ht="15.75">
      <c r="A26" s="325"/>
      <c r="B26" s="325"/>
      <c r="C26" s="325"/>
      <c r="D26" s="325"/>
      <c r="E26" s="325"/>
      <c r="G26" s="344" t="s">
        <v>168</v>
      </c>
    </row>
    <row r="27" spans="1:8" ht="25.5">
      <c r="A27" s="346" t="s">
        <v>192</v>
      </c>
      <c r="B27" s="346" t="s">
        <v>0</v>
      </c>
      <c r="C27" s="346" t="s">
        <v>7</v>
      </c>
      <c r="D27" s="346" t="s">
        <v>234</v>
      </c>
      <c r="E27" s="346" t="s">
        <v>198</v>
      </c>
      <c r="F27" s="334" t="s">
        <v>325</v>
      </c>
      <c r="G27" s="335" t="s">
        <v>324</v>
      </c>
      <c r="H27" s="340" t="s">
        <v>138</v>
      </c>
    </row>
    <row r="28" spans="1:8">
      <c r="A28" s="302">
        <v>1</v>
      </c>
      <c r="B28" s="302">
        <v>2</v>
      </c>
      <c r="C28" s="302">
        <v>3</v>
      </c>
      <c r="D28" s="302">
        <v>4</v>
      </c>
      <c r="E28" s="302">
        <v>5</v>
      </c>
      <c r="F28" s="302">
        <v>6</v>
      </c>
      <c r="G28" s="341">
        <v>7</v>
      </c>
      <c r="H28" s="124">
        <v>8</v>
      </c>
    </row>
    <row r="29" spans="1:8" s="276" customFormat="1" ht="53.25" customHeight="1">
      <c r="A29" s="303">
        <v>1</v>
      </c>
      <c r="B29" s="303">
        <v>852</v>
      </c>
      <c r="C29" s="303">
        <v>85201</v>
      </c>
      <c r="D29" s="303">
        <v>2810</v>
      </c>
      <c r="E29" s="354" t="s">
        <v>360</v>
      </c>
      <c r="F29" s="386">
        <v>186008.16</v>
      </c>
      <c r="G29" s="387">
        <v>186008.12</v>
      </c>
      <c r="H29" s="388">
        <f>G29/F29*100</f>
        <v>99.999978495567078</v>
      </c>
    </row>
    <row r="30" spans="1:8" ht="38.25">
      <c r="A30" s="303">
        <v>2</v>
      </c>
      <c r="B30" s="303">
        <v>852</v>
      </c>
      <c r="C30" s="303">
        <v>85201</v>
      </c>
      <c r="D30" s="303">
        <v>2820</v>
      </c>
      <c r="E30" s="345" t="s">
        <v>335</v>
      </c>
      <c r="F30" s="389">
        <v>1961360.03</v>
      </c>
      <c r="G30" s="390">
        <v>1947955.54</v>
      </c>
      <c r="H30" s="388">
        <f>G30/F30*100</f>
        <v>99.316571675012668</v>
      </c>
    </row>
    <row r="31" spans="1:8" ht="77.25" customHeight="1">
      <c r="A31" s="303">
        <v>3</v>
      </c>
      <c r="B31" s="303">
        <v>852</v>
      </c>
      <c r="C31" s="303">
        <v>85202</v>
      </c>
      <c r="D31" s="303">
        <v>2820</v>
      </c>
      <c r="E31" s="345" t="s">
        <v>336</v>
      </c>
      <c r="F31" s="389">
        <v>1794624</v>
      </c>
      <c r="G31" s="390">
        <v>1794624</v>
      </c>
      <c r="H31" s="388">
        <f t="shared" ref="H31:H33" si="1">G31/F31*100</f>
        <v>100</v>
      </c>
    </row>
    <row r="32" spans="1:8" ht="51" customHeight="1">
      <c r="A32" s="303">
        <v>4</v>
      </c>
      <c r="B32" s="303">
        <v>926</v>
      </c>
      <c r="C32" s="303">
        <v>92605</v>
      </c>
      <c r="D32" s="303">
        <v>2820</v>
      </c>
      <c r="E32" s="345" t="s">
        <v>337</v>
      </c>
      <c r="F32" s="389">
        <v>45000</v>
      </c>
      <c r="G32" s="390">
        <v>45000</v>
      </c>
      <c r="H32" s="388">
        <f t="shared" si="1"/>
        <v>100</v>
      </c>
    </row>
    <row r="33" spans="1:8">
      <c r="A33" s="627" t="s">
        <v>163</v>
      </c>
      <c r="B33" s="628"/>
      <c r="C33" s="628"/>
      <c r="D33" s="628"/>
      <c r="E33" s="629"/>
      <c r="F33" s="347">
        <f>SUM(F29:F32)</f>
        <v>3986992.19</v>
      </c>
      <c r="G33" s="348">
        <f>SUM(G29:G32)</f>
        <v>3973587.66</v>
      </c>
      <c r="H33" s="125">
        <f t="shared" si="1"/>
        <v>99.663793422178742</v>
      </c>
    </row>
    <row r="34" spans="1:8" ht="15.75">
      <c r="A34" s="42"/>
      <c r="B34" s="42"/>
      <c r="C34" s="42"/>
      <c r="D34" s="42"/>
      <c r="E34" s="42"/>
      <c r="F34" s="42"/>
      <c r="H34" s="327"/>
    </row>
    <row r="35" spans="1:8" ht="15.75">
      <c r="H35" s="327"/>
    </row>
    <row r="36" spans="1:8" ht="15.75">
      <c r="H36" s="327"/>
    </row>
    <row r="37" spans="1:8" ht="15.75">
      <c r="H37" s="327"/>
    </row>
    <row r="43" spans="1:8" ht="15.75" customHeight="1"/>
    <row r="44" spans="1:8" ht="15.75" customHeight="1"/>
    <row r="45" spans="1:8" ht="15.75" customHeight="1"/>
    <row r="46" spans="1:8" s="276" customFormat="1" ht="15.75" customHeight="1">
      <c r="A46" s="44"/>
      <c r="B46" s="44"/>
      <c r="C46" s="44"/>
      <c r="D46" s="44"/>
      <c r="E46" s="44"/>
      <c r="F46" s="44"/>
      <c r="G46" s="44"/>
    </row>
    <row r="59" spans="1:8" s="276" customFormat="1">
      <c r="A59" s="44"/>
      <c r="B59" s="44"/>
      <c r="C59" s="44"/>
      <c r="D59" s="44"/>
      <c r="E59" s="44"/>
      <c r="F59" s="44"/>
      <c r="G59" s="44"/>
      <c r="H59" s="44"/>
    </row>
  </sheetData>
  <mergeCells count="17">
    <mergeCell ref="G1:H1"/>
    <mergeCell ref="G20:H20"/>
    <mergeCell ref="A21:H21"/>
    <mergeCell ref="A22:H22"/>
    <mergeCell ref="A23:H23"/>
    <mergeCell ref="A5:H5"/>
    <mergeCell ref="A2:H2"/>
    <mergeCell ref="A3:H3"/>
    <mergeCell ref="A4:H4"/>
    <mergeCell ref="A18:E18"/>
    <mergeCell ref="A33:E33"/>
    <mergeCell ref="A24:H24"/>
    <mergeCell ref="A25:H25"/>
    <mergeCell ref="A14:A17"/>
    <mergeCell ref="B14:B17"/>
    <mergeCell ref="C14:C17"/>
    <mergeCell ref="D14:D17"/>
  </mergeCells>
  <pageMargins left="0.7" right="0.7" top="0.75" bottom="0.75" header="0.3" footer="0.3"/>
  <pageSetup paperSize="9" orientation="portrait" r:id="rId1"/>
  <headerFooter>
    <oddFooter>&amp;C&amp;"Times New (W1),Standardowy"Tabele Nr 7 i 8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>
  <dimension ref="A1:I56"/>
  <sheetViews>
    <sheetView view="pageLayout" topLeftCell="A4" workbookViewId="0">
      <selection activeCell="E29" sqref="E29"/>
    </sheetView>
  </sheetViews>
  <sheetFormatPr defaultRowHeight="12.75"/>
  <cols>
    <col min="1" max="1" width="3.85546875" customWidth="1"/>
    <col min="2" max="2" width="6.28515625" customWidth="1"/>
    <col min="3" max="3" width="7.140625" customWidth="1"/>
    <col min="4" max="4" width="6.28515625" customWidth="1"/>
    <col min="5" max="5" width="32.5703125" customWidth="1"/>
    <col min="6" max="6" width="12" customWidth="1"/>
    <col min="7" max="7" width="12.42578125" bestFit="1" customWidth="1"/>
    <col min="8" max="8" width="8.5703125" customWidth="1"/>
    <col min="9" max="9" width="6.85546875" customWidth="1"/>
  </cols>
  <sheetData>
    <row r="1" spans="1:8">
      <c r="A1" s="42"/>
      <c r="B1" s="42"/>
      <c r="C1" s="42"/>
      <c r="D1" s="42"/>
      <c r="E1" s="42"/>
      <c r="F1" s="42"/>
      <c r="G1" s="634" t="s">
        <v>339</v>
      </c>
      <c r="H1" s="634"/>
    </row>
    <row r="2" spans="1:8" ht="15.75" customHeight="1">
      <c r="A2" s="617" t="s">
        <v>333</v>
      </c>
      <c r="B2" s="617"/>
      <c r="C2" s="617"/>
      <c r="D2" s="617"/>
      <c r="E2" s="617"/>
      <c r="F2" s="617"/>
      <c r="G2" s="617"/>
      <c r="H2" s="617"/>
    </row>
    <row r="3" spans="1:8" ht="15.75" customHeight="1">
      <c r="A3" s="617" t="s">
        <v>334</v>
      </c>
      <c r="B3" s="617"/>
      <c r="C3" s="617"/>
      <c r="D3" s="617"/>
      <c r="E3" s="617"/>
      <c r="F3" s="617"/>
      <c r="G3" s="617"/>
      <c r="H3" s="617"/>
    </row>
    <row r="4" spans="1:8" ht="15.75" customHeight="1">
      <c r="A4" s="617" t="s">
        <v>349</v>
      </c>
      <c r="B4" s="617"/>
      <c r="C4" s="617"/>
      <c r="D4" s="617"/>
      <c r="E4" s="617"/>
      <c r="F4" s="617"/>
      <c r="G4" s="617"/>
      <c r="H4" s="617"/>
    </row>
    <row r="5" spans="1:8" ht="15.75">
      <c r="A5" s="630" t="s">
        <v>268</v>
      </c>
      <c r="B5" s="630"/>
      <c r="C5" s="630"/>
      <c r="D5" s="630"/>
      <c r="E5" s="630"/>
      <c r="F5" s="630"/>
      <c r="G5" s="630"/>
      <c r="H5" s="630"/>
    </row>
    <row r="6" spans="1:8" ht="15.75">
      <c r="A6" s="325"/>
      <c r="B6" s="325"/>
      <c r="C6" s="325"/>
      <c r="D6" s="325"/>
      <c r="E6" s="325"/>
      <c r="F6" s="325"/>
      <c r="G6" s="344" t="s">
        <v>168</v>
      </c>
    </row>
    <row r="7" spans="1:8" ht="25.5">
      <c r="A7" s="346" t="s">
        <v>192</v>
      </c>
      <c r="B7" s="346" t="s">
        <v>0</v>
      </c>
      <c r="C7" s="346" t="s">
        <v>7</v>
      </c>
      <c r="D7" s="346" t="s">
        <v>234</v>
      </c>
      <c r="E7" s="346" t="s">
        <v>198</v>
      </c>
      <c r="F7" s="334" t="s">
        <v>325</v>
      </c>
      <c r="G7" s="335" t="s">
        <v>324</v>
      </c>
      <c r="H7" s="357" t="s">
        <v>138</v>
      </c>
    </row>
    <row r="8" spans="1:8">
      <c r="A8" s="302">
        <v>1</v>
      </c>
      <c r="B8" s="302">
        <v>2</v>
      </c>
      <c r="C8" s="302">
        <v>3</v>
      </c>
      <c r="D8" s="302">
        <v>4</v>
      </c>
      <c r="E8" s="302">
        <v>5</v>
      </c>
      <c r="F8" s="302">
        <v>6</v>
      </c>
      <c r="G8" s="302">
        <v>7</v>
      </c>
      <c r="H8" s="302">
        <v>8</v>
      </c>
    </row>
    <row r="9" spans="1:8" ht="141" customHeight="1">
      <c r="A9" s="350">
        <v>1</v>
      </c>
      <c r="B9" s="350">
        <v>600</v>
      </c>
      <c r="C9" s="350">
        <v>60016</v>
      </c>
      <c r="D9" s="350">
        <v>6300</v>
      </c>
      <c r="E9" s="351" t="s">
        <v>340</v>
      </c>
      <c r="F9" s="359">
        <v>100000</v>
      </c>
      <c r="G9" s="359">
        <v>100000</v>
      </c>
      <c r="H9" s="358">
        <f>G9/F9*100</f>
        <v>100</v>
      </c>
    </row>
    <row r="10" spans="1:8" ht="54" customHeight="1">
      <c r="A10" s="350">
        <v>2</v>
      </c>
      <c r="B10" s="350">
        <v>600</v>
      </c>
      <c r="C10" s="350">
        <v>60016</v>
      </c>
      <c r="D10" s="350">
        <v>6300</v>
      </c>
      <c r="E10" s="351" t="s">
        <v>341</v>
      </c>
      <c r="F10" s="359">
        <v>100000</v>
      </c>
      <c r="G10" s="359">
        <v>100000</v>
      </c>
      <c r="H10" s="358">
        <f t="shared" ref="H10:H13" si="0">G10/F10*100</f>
        <v>100</v>
      </c>
    </row>
    <row r="11" spans="1:8" ht="45" customHeight="1">
      <c r="A11" s="305">
        <v>3</v>
      </c>
      <c r="B11" s="305">
        <v>754</v>
      </c>
      <c r="C11" s="305">
        <v>75412</v>
      </c>
      <c r="D11" s="305">
        <v>2710</v>
      </c>
      <c r="E11" s="352" t="s">
        <v>342</v>
      </c>
      <c r="F11" s="395">
        <f>'[1]tab 2'!F199</f>
        <v>35000</v>
      </c>
      <c r="G11" s="395">
        <v>35000</v>
      </c>
      <c r="H11" s="358">
        <f t="shared" si="0"/>
        <v>100</v>
      </c>
    </row>
    <row r="12" spans="1:8" ht="40.5" customHeight="1">
      <c r="A12" s="350">
        <v>4</v>
      </c>
      <c r="B12" s="350">
        <v>801</v>
      </c>
      <c r="C12" s="350">
        <v>80195</v>
      </c>
      <c r="D12" s="350">
        <v>2710</v>
      </c>
      <c r="E12" s="353" t="s">
        <v>343</v>
      </c>
      <c r="F12" s="359">
        <f>'[1]tab 2'!F446</f>
        <v>6743</v>
      </c>
      <c r="G12" s="359">
        <f>'[1]tab 2'!G446</f>
        <v>0</v>
      </c>
      <c r="H12" s="358">
        <f t="shared" si="0"/>
        <v>0</v>
      </c>
    </row>
    <row r="13" spans="1:8">
      <c r="A13" s="355" t="s">
        <v>163</v>
      </c>
      <c r="B13" s="356"/>
      <c r="C13" s="356"/>
      <c r="D13" s="356"/>
      <c r="E13" s="356"/>
      <c r="F13" s="360">
        <f>F9+F10+F11+F12</f>
        <v>241743</v>
      </c>
      <c r="G13" s="360">
        <f>G9+G10+G11+G12</f>
        <v>235000</v>
      </c>
      <c r="H13" s="361">
        <f t="shared" si="0"/>
        <v>97.21067414568364</v>
      </c>
    </row>
    <row r="15" spans="1:8">
      <c r="A15" s="42"/>
      <c r="B15" s="42"/>
      <c r="C15" s="42"/>
      <c r="D15" s="42"/>
      <c r="E15" s="42"/>
      <c r="F15" s="42"/>
      <c r="G15" s="634" t="s">
        <v>344</v>
      </c>
      <c r="H15" s="634"/>
    </row>
    <row r="16" spans="1:8" ht="15.75" customHeight="1">
      <c r="A16" s="617" t="s">
        <v>333</v>
      </c>
      <c r="B16" s="617"/>
      <c r="C16" s="617"/>
      <c r="D16" s="617"/>
      <c r="E16" s="617"/>
      <c r="F16" s="617"/>
      <c r="G16" s="617"/>
      <c r="H16" s="617"/>
    </row>
    <row r="17" spans="1:9" ht="15.75" customHeight="1">
      <c r="A17" s="617" t="s">
        <v>334</v>
      </c>
      <c r="B17" s="617"/>
      <c r="C17" s="617"/>
      <c r="D17" s="617"/>
      <c r="E17" s="617"/>
      <c r="F17" s="617"/>
      <c r="G17" s="617"/>
      <c r="H17" s="617"/>
    </row>
    <row r="18" spans="1:9" ht="15.75" customHeight="1">
      <c r="A18" s="617" t="s">
        <v>345</v>
      </c>
      <c r="B18" s="617"/>
      <c r="C18" s="617"/>
      <c r="D18" s="617"/>
      <c r="E18" s="617"/>
      <c r="F18" s="617"/>
      <c r="G18" s="617"/>
      <c r="H18" s="617"/>
    </row>
    <row r="19" spans="1:9" ht="15.75" customHeight="1">
      <c r="A19" s="617" t="s">
        <v>348</v>
      </c>
      <c r="B19" s="617"/>
      <c r="C19" s="617"/>
      <c r="D19" s="617"/>
      <c r="E19" s="617"/>
      <c r="F19" s="617"/>
      <c r="G19" s="617"/>
      <c r="H19" s="617"/>
    </row>
    <row r="20" spans="1:9" ht="15.75">
      <c r="A20" s="630" t="s">
        <v>361</v>
      </c>
      <c r="B20" s="630"/>
      <c r="C20" s="630"/>
      <c r="D20" s="630"/>
      <c r="E20" s="630"/>
      <c r="F20" s="630"/>
      <c r="G20" s="630"/>
      <c r="H20" s="630"/>
    </row>
    <row r="21" spans="1:9" ht="15.75">
      <c r="A21" s="325"/>
      <c r="B21" s="325"/>
      <c r="C21" s="325"/>
      <c r="D21" s="325"/>
      <c r="E21" s="325"/>
      <c r="F21" s="325"/>
      <c r="G21" s="344" t="s">
        <v>168</v>
      </c>
    </row>
    <row r="22" spans="1:9" ht="25.5">
      <c r="A22" s="300" t="s">
        <v>192</v>
      </c>
      <c r="B22" s="300" t="s">
        <v>0</v>
      </c>
      <c r="C22" s="300" t="s">
        <v>7</v>
      </c>
      <c r="D22" s="300" t="s">
        <v>234</v>
      </c>
      <c r="E22" s="300" t="s">
        <v>198</v>
      </c>
      <c r="F22" s="334" t="s">
        <v>325</v>
      </c>
      <c r="G22" s="335" t="s">
        <v>324</v>
      </c>
      <c r="H22" s="357" t="s">
        <v>138</v>
      </c>
    </row>
    <row r="23" spans="1:9">
      <c r="A23" s="302">
        <v>1</v>
      </c>
      <c r="B23" s="302">
        <v>2</v>
      </c>
      <c r="C23" s="302">
        <v>3</v>
      </c>
      <c r="D23" s="302">
        <v>4</v>
      </c>
      <c r="E23" s="302">
        <v>5</v>
      </c>
      <c r="F23" s="302">
        <v>6</v>
      </c>
      <c r="G23" s="302">
        <v>7</v>
      </c>
      <c r="H23" s="302">
        <v>8</v>
      </c>
    </row>
    <row r="24" spans="1:9" ht="50.25" customHeight="1">
      <c r="A24" s="391">
        <v>1</v>
      </c>
      <c r="B24" s="391">
        <v>600</v>
      </c>
      <c r="C24" s="391">
        <v>60002</v>
      </c>
      <c r="D24" s="391">
        <v>6230</v>
      </c>
      <c r="E24" s="396" t="s">
        <v>346</v>
      </c>
      <c r="F24" s="397">
        <v>50000</v>
      </c>
      <c r="G24" s="337">
        <v>50000</v>
      </c>
      <c r="H24" s="400">
        <f>G24/F24*100</f>
        <v>100</v>
      </c>
    </row>
    <row r="25" spans="1:9">
      <c r="A25" s="398" t="s">
        <v>163</v>
      </c>
      <c r="B25" s="399"/>
      <c r="C25" s="399"/>
      <c r="D25" s="399"/>
      <c r="E25" s="399"/>
      <c r="F25" s="362">
        <f>F24</f>
        <v>50000</v>
      </c>
      <c r="G25" s="338">
        <f>SUM(G24)</f>
        <v>50000</v>
      </c>
      <c r="H25" s="401">
        <f>G25/F25*100</f>
        <v>100</v>
      </c>
    </row>
    <row r="26" spans="1:9">
      <c r="A26" s="42"/>
      <c r="B26" s="42"/>
      <c r="C26" s="42"/>
      <c r="D26" s="42"/>
      <c r="E26" s="42"/>
      <c r="F26" s="42"/>
      <c r="G26" s="42"/>
    </row>
    <row r="27" spans="1:9">
      <c r="H27" s="228"/>
      <c r="I27" s="229"/>
    </row>
    <row r="28" spans="1:9">
      <c r="A28" s="226"/>
      <c r="B28" s="226"/>
      <c r="C28" s="226"/>
      <c r="D28" s="226"/>
      <c r="E28" s="226"/>
      <c r="F28" s="226"/>
      <c r="G28" s="227"/>
      <c r="H28" s="228"/>
      <c r="I28" s="229"/>
    </row>
    <row r="37" ht="57.75" customHeight="1"/>
    <row r="38" ht="30.75" customHeight="1"/>
    <row r="39" ht="30" customHeight="1"/>
    <row r="40" ht="30.75" customHeight="1"/>
    <row r="41" ht="32.25" customHeight="1"/>
    <row r="42" ht="32.25" customHeight="1"/>
    <row r="43" ht="32.25" customHeight="1"/>
    <row r="44" ht="32.25" customHeight="1"/>
    <row r="56" spans="1:9" s="53" customFormat="1">
      <c r="A56"/>
      <c r="B56"/>
      <c r="C56"/>
      <c r="D56"/>
      <c r="E56"/>
      <c r="F56"/>
      <c r="G56"/>
      <c r="H56"/>
      <c r="I56"/>
    </row>
  </sheetData>
  <mergeCells count="11">
    <mergeCell ref="G1:H1"/>
    <mergeCell ref="G15:H15"/>
    <mergeCell ref="A5:H5"/>
    <mergeCell ref="A20:H20"/>
    <mergeCell ref="A16:H16"/>
    <mergeCell ref="A17:H17"/>
    <mergeCell ref="A18:H18"/>
    <mergeCell ref="A19:H19"/>
    <mergeCell ref="A2:H2"/>
    <mergeCell ref="A3:H3"/>
    <mergeCell ref="A4:H4"/>
  </mergeCells>
  <pageMargins left="0.7" right="0.7" top="0.75" bottom="0.75" header="0.3" footer="0.3"/>
  <pageSetup paperSize="9" orientation="portrait" r:id="rId1"/>
  <headerFooter>
    <oddFooter>&amp;C&amp;"Times New (W1),Standardowy"Tabele Nr 9 i 10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>
  <dimension ref="A1:I11"/>
  <sheetViews>
    <sheetView view="pageLayout" workbookViewId="0">
      <selection activeCell="F44" sqref="F44"/>
    </sheetView>
  </sheetViews>
  <sheetFormatPr defaultRowHeight="12.75"/>
  <cols>
    <col min="1" max="1" width="4.5703125" customWidth="1"/>
    <col min="2" max="2" width="6.42578125" customWidth="1"/>
    <col min="3" max="3" width="7.85546875" customWidth="1"/>
    <col min="5" max="5" width="10.7109375" customWidth="1"/>
    <col min="6" max="6" width="17.7109375" customWidth="1"/>
    <col min="7" max="7" width="12.28515625" customWidth="1"/>
    <col min="8" max="8" width="12" customWidth="1"/>
    <col min="9" max="9" width="6.42578125" customWidth="1"/>
  </cols>
  <sheetData>
    <row r="1" spans="1:9">
      <c r="A1" s="226"/>
      <c r="B1" s="226"/>
      <c r="C1" s="226"/>
      <c r="D1" s="226"/>
      <c r="E1" s="226"/>
      <c r="F1" s="226"/>
      <c r="G1" s="227"/>
      <c r="H1" s="638" t="s">
        <v>350</v>
      </c>
      <c r="I1" s="638"/>
    </row>
    <row r="2" spans="1:9">
      <c r="A2" s="226"/>
      <c r="B2" s="226"/>
      <c r="C2" s="226"/>
      <c r="D2" s="226"/>
      <c r="E2" s="226"/>
      <c r="F2" s="226"/>
      <c r="G2" s="227"/>
      <c r="H2" s="228"/>
      <c r="I2" s="229"/>
    </row>
    <row r="3" spans="1:9" ht="15.75">
      <c r="A3" s="637" t="s">
        <v>201</v>
      </c>
      <c r="B3" s="637"/>
      <c r="C3" s="637"/>
      <c r="D3" s="637"/>
      <c r="E3" s="637"/>
      <c r="F3" s="637"/>
      <c r="G3" s="637"/>
      <c r="H3" s="637"/>
      <c r="I3" s="637"/>
    </row>
    <row r="4" spans="1:9" ht="15.75">
      <c r="A4" s="637" t="s">
        <v>202</v>
      </c>
      <c r="B4" s="637"/>
      <c r="C4" s="637"/>
      <c r="D4" s="637"/>
      <c r="E4" s="637"/>
      <c r="F4" s="637"/>
      <c r="G4" s="637"/>
      <c r="H4" s="637"/>
      <c r="I4" s="637"/>
    </row>
    <row r="5" spans="1:9" ht="15.75">
      <c r="A5" s="637" t="s">
        <v>353</v>
      </c>
      <c r="B5" s="637"/>
      <c r="C5" s="637"/>
      <c r="D5" s="637"/>
      <c r="E5" s="637"/>
      <c r="F5" s="637"/>
      <c r="G5" s="637"/>
      <c r="H5" s="637"/>
      <c r="I5" s="637"/>
    </row>
    <row r="6" spans="1:9" ht="15.75">
      <c r="A6" s="119"/>
      <c r="B6" s="119"/>
      <c r="C6" s="119"/>
      <c r="D6" s="324"/>
      <c r="E6" s="119"/>
      <c r="F6" s="119"/>
      <c r="G6" s="127"/>
      <c r="H6" s="100" t="s">
        <v>168</v>
      </c>
      <c r="I6" s="101"/>
    </row>
    <row r="7" spans="1:9">
      <c r="A7" s="121" t="s">
        <v>192</v>
      </c>
      <c r="B7" s="121" t="s">
        <v>0</v>
      </c>
      <c r="C7" s="121" t="s">
        <v>7</v>
      </c>
      <c r="D7" s="635" t="s">
        <v>198</v>
      </c>
      <c r="E7" s="636"/>
      <c r="F7" s="122" t="s">
        <v>203</v>
      </c>
      <c r="G7" s="122" t="s">
        <v>164</v>
      </c>
      <c r="H7" s="121" t="s">
        <v>128</v>
      </c>
      <c r="I7" s="121" t="s">
        <v>138</v>
      </c>
    </row>
    <row r="8" spans="1:9">
      <c r="A8" s="123">
        <v>1</v>
      </c>
      <c r="B8" s="123">
        <v>2</v>
      </c>
      <c r="C8" s="123">
        <v>3</v>
      </c>
      <c r="D8" s="642">
        <v>4</v>
      </c>
      <c r="E8" s="643"/>
      <c r="F8" s="123">
        <v>5</v>
      </c>
      <c r="G8" s="123">
        <v>6</v>
      </c>
      <c r="H8" s="128">
        <v>7</v>
      </c>
      <c r="I8" s="128">
        <v>8</v>
      </c>
    </row>
    <row r="9" spans="1:9" ht="54" customHeight="1">
      <c r="A9" s="402">
        <v>1</v>
      </c>
      <c r="B9" s="392">
        <v>754</v>
      </c>
      <c r="C9" s="392">
        <v>75405</v>
      </c>
      <c r="D9" s="646" t="s">
        <v>362</v>
      </c>
      <c r="E9" s="647"/>
      <c r="F9" s="403" t="s">
        <v>363</v>
      </c>
      <c r="G9" s="404">
        <v>9960</v>
      </c>
      <c r="H9" s="405">
        <v>9960</v>
      </c>
      <c r="I9" s="144">
        <f>H9/G9*100</f>
        <v>100</v>
      </c>
    </row>
    <row r="10" spans="1:9" ht="38.25">
      <c r="A10" s="129">
        <v>2</v>
      </c>
      <c r="B10" s="118">
        <v>754</v>
      </c>
      <c r="C10" s="118">
        <v>75406</v>
      </c>
      <c r="D10" s="644" t="s">
        <v>331</v>
      </c>
      <c r="E10" s="645"/>
      <c r="F10" s="130" t="s">
        <v>330</v>
      </c>
      <c r="G10" s="406">
        <v>4000</v>
      </c>
      <c r="H10" s="407">
        <v>3999.96</v>
      </c>
      <c r="I10" s="144">
        <f>H10/G10*100</f>
        <v>99.999000000000009</v>
      </c>
    </row>
    <row r="11" spans="1:9">
      <c r="A11" s="639" t="s">
        <v>163</v>
      </c>
      <c r="B11" s="640"/>
      <c r="C11" s="640"/>
      <c r="D11" s="640"/>
      <c r="E11" s="640"/>
      <c r="F11" s="641"/>
      <c r="G11" s="408">
        <f>SUM(G9:G10)</f>
        <v>13960</v>
      </c>
      <c r="H11" s="409">
        <f>SUM(H9:H10)</f>
        <v>13959.96</v>
      </c>
      <c r="I11" s="343">
        <f>H11/G11*100</f>
        <v>99.999713467048707</v>
      </c>
    </row>
  </sheetData>
  <mergeCells count="9">
    <mergeCell ref="D7:E7"/>
    <mergeCell ref="A5:I5"/>
    <mergeCell ref="H1:I1"/>
    <mergeCell ref="A3:I3"/>
    <mergeCell ref="A11:F11"/>
    <mergeCell ref="A4:I4"/>
    <mergeCell ref="D8:E8"/>
    <mergeCell ref="D10:E10"/>
    <mergeCell ref="D9:E9"/>
  </mergeCells>
  <pageMargins left="0.7" right="0.7" top="0.75" bottom="0.75" header="0.3" footer="0.3"/>
  <pageSetup paperSize="9" orientation="portrait" r:id="rId1"/>
  <headerFooter>
    <oddFooter>&amp;CTabela Nr 11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>
  <dimension ref="A1:AG35"/>
  <sheetViews>
    <sheetView view="pageLayout" topLeftCell="A16" workbookViewId="0">
      <selection activeCell="C30" sqref="C30"/>
    </sheetView>
  </sheetViews>
  <sheetFormatPr defaultRowHeight="12.75"/>
  <cols>
    <col min="1" max="1" width="4.140625" customWidth="1"/>
    <col min="2" max="2" width="5.140625" customWidth="1"/>
    <col min="3" max="3" width="31" customWidth="1"/>
    <col min="4" max="4" width="10.140625" customWidth="1"/>
    <col min="5" max="5" width="10.42578125" customWidth="1"/>
    <col min="6" max="6" width="10.28515625" customWidth="1"/>
    <col min="7" max="7" width="10.140625" customWidth="1"/>
    <col min="8" max="8" width="10" customWidth="1"/>
    <col min="9" max="9" width="7.42578125" customWidth="1"/>
    <col min="10" max="10" width="9.7109375" customWidth="1"/>
    <col min="11" max="11" width="9" customWidth="1"/>
    <col min="12" max="12" width="6.85546875" customWidth="1"/>
    <col min="13" max="13" width="8.42578125" customWidth="1"/>
    <col min="14" max="14" width="6.42578125" customWidth="1"/>
  </cols>
  <sheetData>
    <row r="1" spans="1:33">
      <c r="A1" s="42"/>
      <c r="B1" s="42"/>
      <c r="C1" s="42"/>
      <c r="D1" s="598" t="s">
        <v>351</v>
      </c>
      <c r="E1" s="598"/>
      <c r="F1" s="598"/>
      <c r="G1" s="598"/>
      <c r="H1" s="598"/>
      <c r="I1" s="598"/>
      <c r="J1" s="598"/>
      <c r="K1" s="598"/>
      <c r="L1" s="598"/>
      <c r="M1" s="598"/>
      <c r="N1" s="598"/>
    </row>
    <row r="2" spans="1:33">
      <c r="A2" s="558" t="s">
        <v>6</v>
      </c>
      <c r="B2" s="558"/>
      <c r="C2" s="558"/>
      <c r="D2" s="558"/>
      <c r="E2" s="558"/>
      <c r="F2" s="558"/>
      <c r="G2" s="558"/>
      <c r="H2" s="558"/>
      <c r="I2" s="558"/>
      <c r="J2" s="558"/>
      <c r="K2" s="558"/>
      <c r="L2" s="558"/>
      <c r="M2" s="558"/>
      <c r="N2" s="558"/>
    </row>
    <row r="3" spans="1:33">
      <c r="A3" s="558" t="s">
        <v>3</v>
      </c>
      <c r="B3" s="558"/>
      <c r="C3" s="558"/>
      <c r="D3" s="558"/>
      <c r="E3" s="558"/>
      <c r="F3" s="558"/>
      <c r="G3" s="558"/>
      <c r="H3" s="558"/>
      <c r="I3" s="558"/>
      <c r="J3" s="558"/>
      <c r="K3" s="558"/>
      <c r="L3" s="558"/>
      <c r="M3" s="558"/>
      <c r="N3" s="558"/>
    </row>
    <row r="4" spans="1:33" ht="14.25" customHeight="1">
      <c r="A4" s="648" t="s">
        <v>5</v>
      </c>
      <c r="B4" s="648"/>
      <c r="C4" s="648"/>
      <c r="D4" s="648"/>
      <c r="E4" s="648"/>
      <c r="F4" s="648"/>
      <c r="G4" s="648"/>
      <c r="H4" s="648"/>
      <c r="I4" s="648"/>
      <c r="J4" s="648"/>
      <c r="K4" s="648"/>
      <c r="L4" s="648"/>
      <c r="M4" s="648"/>
      <c r="N4" s="648"/>
    </row>
    <row r="5" spans="1:33">
      <c r="A5" s="558" t="s">
        <v>353</v>
      </c>
      <c r="B5" s="558"/>
      <c r="C5" s="558"/>
      <c r="D5" s="558"/>
      <c r="E5" s="558"/>
      <c r="F5" s="558"/>
      <c r="G5" s="558"/>
      <c r="H5" s="558"/>
      <c r="I5" s="558"/>
      <c r="J5" s="558"/>
      <c r="K5" s="558"/>
      <c r="L5" s="558"/>
      <c r="M5" s="558"/>
      <c r="N5" s="558"/>
    </row>
    <row r="6" spans="1:33">
      <c r="A6" s="42"/>
      <c r="B6" s="42"/>
      <c r="C6" s="42"/>
      <c r="D6" s="42"/>
      <c r="E6" s="42"/>
      <c r="F6" s="42"/>
      <c r="G6" s="42"/>
      <c r="H6" s="42"/>
      <c r="I6" s="42"/>
      <c r="J6" s="42"/>
      <c r="K6" s="42"/>
      <c r="L6" s="42"/>
      <c r="M6" s="42" t="s">
        <v>168</v>
      </c>
    </row>
    <row r="7" spans="1:33" s="6" customFormat="1" ht="12.75" customHeight="1">
      <c r="A7" s="562" t="s">
        <v>0</v>
      </c>
      <c r="B7" s="562" t="s">
        <v>7</v>
      </c>
      <c r="C7" s="562" t="s">
        <v>1</v>
      </c>
      <c r="D7" s="562" t="s">
        <v>161</v>
      </c>
      <c r="E7" s="562" t="s">
        <v>128</v>
      </c>
      <c r="F7" s="656" t="s">
        <v>151</v>
      </c>
      <c r="G7" s="657"/>
      <c r="H7" s="657"/>
      <c r="I7" s="657"/>
      <c r="J7" s="657"/>
      <c r="K7" s="657"/>
      <c r="L7" s="657"/>
      <c r="M7" s="657"/>
      <c r="N7" s="562" t="s">
        <v>125</v>
      </c>
    </row>
    <row r="8" spans="1:33" s="6" customFormat="1" ht="12.75" customHeight="1">
      <c r="A8" s="563"/>
      <c r="B8" s="563"/>
      <c r="C8" s="563"/>
      <c r="D8" s="563"/>
      <c r="E8" s="563"/>
      <c r="F8" s="540" t="s">
        <v>8</v>
      </c>
      <c r="G8" s="59" t="s">
        <v>9</v>
      </c>
      <c r="H8" s="59"/>
      <c r="I8" s="59"/>
      <c r="J8" s="59"/>
      <c r="K8" s="59"/>
      <c r="L8" s="60"/>
      <c r="M8" s="654" t="s">
        <v>150</v>
      </c>
      <c r="N8" s="563"/>
    </row>
    <row r="9" spans="1:33" s="6" customFormat="1" ht="60" customHeight="1">
      <c r="A9" s="564"/>
      <c r="B9" s="564"/>
      <c r="C9" s="564"/>
      <c r="D9" s="564"/>
      <c r="E9" s="564"/>
      <c r="F9" s="542"/>
      <c r="G9" s="117" t="s">
        <v>258</v>
      </c>
      <c r="H9" s="117" t="s">
        <v>262</v>
      </c>
      <c r="I9" s="117" t="s">
        <v>259</v>
      </c>
      <c r="J9" s="117" t="s">
        <v>260</v>
      </c>
      <c r="K9" s="263" t="s">
        <v>261</v>
      </c>
      <c r="L9" s="117" t="s">
        <v>10</v>
      </c>
      <c r="M9" s="655"/>
      <c r="N9" s="564"/>
    </row>
    <row r="10" spans="1:33" s="52" customFormat="1" ht="11.25">
      <c r="A10" s="109">
        <v>1</v>
      </c>
      <c r="B10" s="109">
        <v>2</v>
      </c>
      <c r="C10" s="109">
        <v>3</v>
      </c>
      <c r="D10" s="109">
        <v>4</v>
      </c>
      <c r="E10" s="109">
        <v>5</v>
      </c>
      <c r="F10" s="109">
        <v>6</v>
      </c>
      <c r="G10" s="109">
        <v>7</v>
      </c>
      <c r="H10" s="109">
        <v>8</v>
      </c>
      <c r="I10" s="109">
        <v>9</v>
      </c>
      <c r="J10" s="109">
        <v>10</v>
      </c>
      <c r="K10" s="109">
        <v>11</v>
      </c>
      <c r="L10" s="109">
        <v>12</v>
      </c>
      <c r="M10" s="109">
        <v>13</v>
      </c>
      <c r="N10" s="109">
        <v>14</v>
      </c>
    </row>
    <row r="11" spans="1:33" s="56" customFormat="1" ht="12">
      <c r="A11" s="493" t="s">
        <v>13</v>
      </c>
      <c r="B11" s="494"/>
      <c r="C11" s="495" t="s">
        <v>27</v>
      </c>
      <c r="D11" s="290">
        <f>D12</f>
        <v>120000</v>
      </c>
      <c r="E11" s="290">
        <f t="shared" ref="E11:M11" si="0">E12</f>
        <v>119998.16</v>
      </c>
      <c r="F11" s="290">
        <f t="shared" si="0"/>
        <v>119998.16</v>
      </c>
      <c r="G11" s="290">
        <f t="shared" si="0"/>
        <v>2450</v>
      </c>
      <c r="H11" s="290">
        <f t="shared" si="0"/>
        <v>117548.16</v>
      </c>
      <c r="I11" s="290">
        <f t="shared" si="0"/>
        <v>0</v>
      </c>
      <c r="J11" s="290">
        <f t="shared" si="0"/>
        <v>0</v>
      </c>
      <c r="K11" s="290">
        <f t="shared" si="0"/>
        <v>0</v>
      </c>
      <c r="L11" s="290">
        <f t="shared" si="0"/>
        <v>0</v>
      </c>
      <c r="M11" s="290">
        <f t="shared" si="0"/>
        <v>0</v>
      </c>
      <c r="N11" s="296">
        <f>E11/D11*100</f>
        <v>99.998466666666673</v>
      </c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</row>
    <row r="12" spans="1:33" s="58" customFormat="1" ht="12">
      <c r="A12" s="209" t="s">
        <v>12</v>
      </c>
      <c r="B12" s="110" t="s">
        <v>48</v>
      </c>
      <c r="C12" s="496" t="s">
        <v>64</v>
      </c>
      <c r="D12" s="293">
        <v>120000</v>
      </c>
      <c r="E12" s="293">
        <v>119998.16</v>
      </c>
      <c r="F12" s="293">
        <f>E12</f>
        <v>119998.16</v>
      </c>
      <c r="G12" s="293">
        <v>2450</v>
      </c>
      <c r="H12" s="293">
        <f>F12-G12</f>
        <v>117548.16</v>
      </c>
      <c r="I12" s="293"/>
      <c r="J12" s="293"/>
      <c r="K12" s="293">
        <v>0</v>
      </c>
      <c r="L12" s="293">
        <v>0</v>
      </c>
      <c r="M12" s="294">
        <v>0</v>
      </c>
      <c r="N12" s="474">
        <f t="shared" ref="N12:N35" si="1">E12/D12*100</f>
        <v>99.998466666666673</v>
      </c>
      <c r="O12" s="57"/>
      <c r="P12" s="57"/>
      <c r="Q12" s="57"/>
      <c r="R12" s="57"/>
      <c r="S12" s="57"/>
      <c r="T12" s="57"/>
      <c r="U12" s="57"/>
      <c r="V12" s="57"/>
      <c r="W12" s="57"/>
      <c r="X12" s="57"/>
      <c r="Y12" s="57"/>
      <c r="Z12" s="57"/>
      <c r="AA12" s="57"/>
      <c r="AB12" s="57"/>
      <c r="AC12" s="57"/>
      <c r="AD12" s="57"/>
      <c r="AE12" s="57"/>
      <c r="AF12" s="57"/>
      <c r="AG12" s="57"/>
    </row>
    <row r="13" spans="1:33" s="49" customFormat="1" ht="12">
      <c r="A13" s="494">
        <v>700</v>
      </c>
      <c r="B13" s="493"/>
      <c r="C13" s="497" t="s">
        <v>29</v>
      </c>
      <c r="D13" s="291">
        <f>D14</f>
        <v>15000</v>
      </c>
      <c r="E13" s="291">
        <f t="shared" ref="E13:M13" si="2">E14</f>
        <v>10000</v>
      </c>
      <c r="F13" s="291">
        <f t="shared" si="2"/>
        <v>10000</v>
      </c>
      <c r="G13" s="291">
        <f t="shared" si="2"/>
        <v>750</v>
      </c>
      <c r="H13" s="291">
        <f t="shared" si="2"/>
        <v>9250</v>
      </c>
      <c r="I13" s="291">
        <f t="shared" si="2"/>
        <v>0</v>
      </c>
      <c r="J13" s="291">
        <f t="shared" si="2"/>
        <v>0</v>
      </c>
      <c r="K13" s="291">
        <f t="shared" si="2"/>
        <v>0</v>
      </c>
      <c r="L13" s="291">
        <f t="shared" si="2"/>
        <v>0</v>
      </c>
      <c r="M13" s="291">
        <f t="shared" si="2"/>
        <v>0</v>
      </c>
      <c r="N13" s="296">
        <f t="shared" si="1"/>
        <v>66.666666666666657</v>
      </c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48"/>
      <c r="AC13" s="48"/>
      <c r="AD13" s="48"/>
      <c r="AE13" s="48"/>
      <c r="AF13" s="48"/>
      <c r="AG13" s="48"/>
    </row>
    <row r="14" spans="1:33" s="58" customFormat="1" ht="12">
      <c r="A14" s="209" t="s">
        <v>12</v>
      </c>
      <c r="B14" s="209">
        <v>70005</v>
      </c>
      <c r="C14" s="496" t="s">
        <v>70</v>
      </c>
      <c r="D14" s="293">
        <v>15000</v>
      </c>
      <c r="E14" s="293">
        <v>10000</v>
      </c>
      <c r="F14" s="293">
        <f>E14</f>
        <v>10000</v>
      </c>
      <c r="G14" s="293">
        <v>750</v>
      </c>
      <c r="H14" s="293">
        <f>F14-G14</f>
        <v>9250</v>
      </c>
      <c r="I14" s="293"/>
      <c r="J14" s="293"/>
      <c r="K14" s="293"/>
      <c r="L14" s="293"/>
      <c r="M14" s="294"/>
      <c r="N14" s="474">
        <f t="shared" si="1"/>
        <v>66.666666666666657</v>
      </c>
      <c r="O14" s="57"/>
      <c r="P14" s="57"/>
      <c r="Q14" s="57"/>
      <c r="R14" s="57"/>
      <c r="S14" s="57"/>
      <c r="T14" s="57"/>
      <c r="U14" s="57"/>
      <c r="V14" s="57"/>
      <c r="W14" s="57"/>
      <c r="X14" s="57"/>
      <c r="Y14" s="57"/>
      <c r="Z14" s="57"/>
      <c r="AA14" s="57"/>
      <c r="AB14" s="57"/>
      <c r="AC14" s="57"/>
      <c r="AD14" s="57"/>
      <c r="AE14" s="57"/>
      <c r="AF14" s="57"/>
      <c r="AG14" s="57"/>
    </row>
    <row r="15" spans="1:33" s="49" customFormat="1" ht="12">
      <c r="A15" s="498">
        <v>710</v>
      </c>
      <c r="B15" s="494"/>
      <c r="C15" s="497" t="s">
        <v>104</v>
      </c>
      <c r="D15" s="291">
        <f>D16+D17+D18</f>
        <v>369173</v>
      </c>
      <c r="E15" s="291">
        <f t="shared" ref="E15:M15" si="3">E16+E17+E18</f>
        <v>369165</v>
      </c>
      <c r="F15" s="291">
        <f t="shared" si="3"/>
        <v>369165</v>
      </c>
      <c r="G15" s="291">
        <f t="shared" si="3"/>
        <v>253673.4</v>
      </c>
      <c r="H15" s="291">
        <f t="shared" si="3"/>
        <v>115491.6</v>
      </c>
      <c r="I15" s="291">
        <f t="shared" si="3"/>
        <v>0</v>
      </c>
      <c r="J15" s="291">
        <f t="shared" si="3"/>
        <v>0</v>
      </c>
      <c r="K15" s="291">
        <f t="shared" si="3"/>
        <v>0</v>
      </c>
      <c r="L15" s="291">
        <f t="shared" si="3"/>
        <v>0</v>
      </c>
      <c r="M15" s="291">
        <f t="shared" si="3"/>
        <v>0</v>
      </c>
      <c r="N15" s="296">
        <f t="shared" si="1"/>
        <v>99.997832994287222</v>
      </c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8"/>
      <c r="AC15" s="48"/>
      <c r="AD15" s="48"/>
      <c r="AE15" s="48"/>
      <c r="AF15" s="48"/>
      <c r="AG15" s="48"/>
    </row>
    <row r="16" spans="1:33" s="58" customFormat="1" ht="12.75" customHeight="1">
      <c r="A16" s="551" t="s">
        <v>12</v>
      </c>
      <c r="B16" s="499">
        <v>71013</v>
      </c>
      <c r="C16" s="496" t="s">
        <v>105</v>
      </c>
      <c r="D16" s="293">
        <v>67000</v>
      </c>
      <c r="E16" s="293">
        <v>67000</v>
      </c>
      <c r="F16" s="293">
        <f>E16</f>
        <v>67000</v>
      </c>
      <c r="G16" s="293"/>
      <c r="H16" s="293">
        <f>F16</f>
        <v>67000</v>
      </c>
      <c r="I16" s="293"/>
      <c r="J16" s="293"/>
      <c r="K16" s="293"/>
      <c r="L16" s="293"/>
      <c r="M16" s="294"/>
      <c r="N16" s="474">
        <f t="shared" si="1"/>
        <v>100</v>
      </c>
      <c r="O16" s="57"/>
      <c r="P16" s="57"/>
      <c r="Q16" s="57"/>
      <c r="R16" s="57"/>
      <c r="S16" s="57"/>
      <c r="T16" s="57"/>
      <c r="U16" s="57"/>
      <c r="V16" s="57"/>
      <c r="W16" s="57"/>
      <c r="X16" s="57"/>
      <c r="Y16" s="57"/>
      <c r="Z16" s="57"/>
      <c r="AA16" s="57"/>
      <c r="AB16" s="57"/>
      <c r="AC16" s="57"/>
      <c r="AD16" s="57"/>
      <c r="AE16" s="57"/>
      <c r="AF16" s="57"/>
      <c r="AG16" s="57"/>
    </row>
    <row r="17" spans="1:33" s="58" customFormat="1" ht="12.75" customHeight="1">
      <c r="A17" s="552"/>
      <c r="B17" s="499">
        <v>71014</v>
      </c>
      <c r="C17" s="111" t="s">
        <v>72</v>
      </c>
      <c r="D17" s="293">
        <v>17000</v>
      </c>
      <c r="E17" s="293">
        <v>17000</v>
      </c>
      <c r="F17" s="293">
        <f>E17</f>
        <v>17000</v>
      </c>
      <c r="G17" s="293"/>
      <c r="H17" s="293">
        <f>F17</f>
        <v>17000</v>
      </c>
      <c r="I17" s="293"/>
      <c r="J17" s="293"/>
      <c r="K17" s="293"/>
      <c r="L17" s="293"/>
      <c r="M17" s="294"/>
      <c r="N17" s="474">
        <f t="shared" si="1"/>
        <v>100</v>
      </c>
      <c r="O17" s="57"/>
      <c r="P17" s="57"/>
      <c r="Q17" s="57"/>
      <c r="R17" s="57"/>
      <c r="S17" s="57"/>
      <c r="T17" s="57"/>
      <c r="U17" s="57"/>
      <c r="V17" s="57"/>
      <c r="W17" s="57"/>
      <c r="X17" s="57"/>
      <c r="Y17" s="57"/>
      <c r="Z17" s="57"/>
      <c r="AA17" s="57"/>
      <c r="AB17" s="57"/>
      <c r="AC17" s="57"/>
      <c r="AD17" s="57"/>
      <c r="AE17" s="57"/>
      <c r="AF17" s="57"/>
      <c r="AG17" s="57"/>
    </row>
    <row r="18" spans="1:33" s="58" customFormat="1" ht="13.5" customHeight="1">
      <c r="A18" s="553"/>
      <c r="B18" s="499">
        <v>71015</v>
      </c>
      <c r="C18" s="111" t="s">
        <v>73</v>
      </c>
      <c r="D18" s="293">
        <v>285173</v>
      </c>
      <c r="E18" s="293">
        <v>285165</v>
      </c>
      <c r="F18" s="293">
        <f>E18</f>
        <v>285165</v>
      </c>
      <c r="G18" s="293">
        <f>69158.6+135246.19+15451.46+31521.86+2295.29</f>
        <v>253673.4</v>
      </c>
      <c r="H18" s="293">
        <f>F18-G18</f>
        <v>31491.600000000006</v>
      </c>
      <c r="I18" s="293"/>
      <c r="J18" s="293"/>
      <c r="K18" s="293"/>
      <c r="L18" s="293"/>
      <c r="M18" s="294"/>
      <c r="N18" s="474">
        <f t="shared" si="1"/>
        <v>99.997194685331365</v>
      </c>
      <c r="O18" s="57"/>
      <c r="P18" s="57"/>
      <c r="Q18" s="57"/>
      <c r="R18" s="57"/>
      <c r="S18" s="57"/>
      <c r="T18" s="57"/>
      <c r="U18" s="57"/>
      <c r="V18" s="57"/>
      <c r="W18" s="57"/>
      <c r="X18" s="57"/>
      <c r="Y18" s="57"/>
      <c r="Z18" s="57"/>
      <c r="AA18" s="57"/>
      <c r="AB18" s="57"/>
      <c r="AC18" s="57"/>
      <c r="AD18" s="57"/>
      <c r="AE18" s="57"/>
      <c r="AF18" s="57"/>
      <c r="AG18" s="57"/>
    </row>
    <row r="19" spans="1:33" s="49" customFormat="1" ht="12">
      <c r="A19" s="500">
        <v>750</v>
      </c>
      <c r="B19" s="494"/>
      <c r="C19" s="501" t="s">
        <v>31</v>
      </c>
      <c r="D19" s="291">
        <f>D20+D21</f>
        <v>133196</v>
      </c>
      <c r="E19" s="291">
        <f t="shared" ref="E19:M19" si="4">E20+E21</f>
        <v>132862.34</v>
      </c>
      <c r="F19" s="291">
        <f t="shared" si="4"/>
        <v>132862.34</v>
      </c>
      <c r="G19" s="291">
        <f t="shared" si="4"/>
        <v>126353.45</v>
      </c>
      <c r="H19" s="291">
        <f t="shared" si="4"/>
        <v>4508.8899999999994</v>
      </c>
      <c r="I19" s="291">
        <f t="shared" si="4"/>
        <v>0</v>
      </c>
      <c r="J19" s="291">
        <f t="shared" si="4"/>
        <v>2000</v>
      </c>
      <c r="K19" s="291">
        <f t="shared" si="4"/>
        <v>0</v>
      </c>
      <c r="L19" s="291">
        <f t="shared" si="4"/>
        <v>0</v>
      </c>
      <c r="M19" s="291">
        <f t="shared" si="4"/>
        <v>0</v>
      </c>
      <c r="N19" s="296">
        <f t="shared" si="1"/>
        <v>99.749496981891355</v>
      </c>
      <c r="O19" s="48"/>
      <c r="P19" s="48"/>
      <c r="Q19" s="48"/>
      <c r="R19" s="48"/>
      <c r="S19" s="48"/>
      <c r="T19" s="48"/>
      <c r="U19" s="48"/>
      <c r="V19" s="48"/>
      <c r="W19" s="48"/>
      <c r="X19" s="48"/>
      <c r="Y19" s="48"/>
      <c r="Z19" s="48"/>
      <c r="AA19" s="48"/>
      <c r="AB19" s="48"/>
      <c r="AC19" s="48"/>
      <c r="AD19" s="48"/>
      <c r="AE19" s="48"/>
      <c r="AF19" s="48"/>
      <c r="AG19" s="48"/>
    </row>
    <row r="20" spans="1:33" s="58" customFormat="1" ht="12">
      <c r="A20" s="551" t="s">
        <v>12</v>
      </c>
      <c r="B20" s="499">
        <v>75011</v>
      </c>
      <c r="C20" s="111" t="s">
        <v>76</v>
      </c>
      <c r="D20" s="293">
        <v>114200</v>
      </c>
      <c r="E20" s="293">
        <v>113866.61</v>
      </c>
      <c r="F20" s="293">
        <f>E20</f>
        <v>113866.61</v>
      </c>
      <c r="G20" s="293">
        <f>F20</f>
        <v>113866.61</v>
      </c>
      <c r="H20" s="293">
        <v>0</v>
      </c>
      <c r="I20" s="293"/>
      <c r="J20" s="293"/>
      <c r="K20" s="293"/>
      <c r="L20" s="293"/>
      <c r="M20" s="294"/>
      <c r="N20" s="474">
        <f t="shared" si="1"/>
        <v>99.708064798598954</v>
      </c>
      <c r="O20" s="57"/>
      <c r="P20" s="57"/>
      <c r="Q20" s="57"/>
      <c r="R20" s="57"/>
      <c r="S20" s="57"/>
      <c r="T20" s="57"/>
      <c r="U20" s="57"/>
      <c r="V20" s="57"/>
      <c r="W20" s="57"/>
      <c r="X20" s="57"/>
      <c r="Y20" s="57"/>
      <c r="Z20" s="57"/>
      <c r="AA20" s="57"/>
      <c r="AB20" s="57"/>
      <c r="AC20" s="57"/>
      <c r="AD20" s="57"/>
      <c r="AE20" s="57"/>
      <c r="AF20" s="57"/>
      <c r="AG20" s="57"/>
    </row>
    <row r="21" spans="1:33" s="58" customFormat="1" ht="12.75" customHeight="1">
      <c r="A21" s="553"/>
      <c r="B21" s="499">
        <v>75045</v>
      </c>
      <c r="C21" s="111" t="s">
        <v>78</v>
      </c>
      <c r="D21" s="293">
        <v>18996</v>
      </c>
      <c r="E21" s="293">
        <v>18995.73</v>
      </c>
      <c r="F21" s="293">
        <f>E21</f>
        <v>18995.73</v>
      </c>
      <c r="G21" s="295">
        <f>401.66+65.18+12020</f>
        <v>12486.84</v>
      </c>
      <c r="H21" s="293">
        <f>F21-G21-J21</f>
        <v>4508.8899999999994</v>
      </c>
      <c r="I21" s="293"/>
      <c r="J21" s="293">
        <v>2000</v>
      </c>
      <c r="K21" s="293"/>
      <c r="L21" s="293"/>
      <c r="M21" s="294"/>
      <c r="N21" s="474">
        <f t="shared" si="1"/>
        <v>99.998578648136444</v>
      </c>
      <c r="O21" s="57"/>
      <c r="P21" s="57"/>
      <c r="Q21" s="57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57"/>
      <c r="AG21" s="57"/>
    </row>
    <row r="22" spans="1:33" s="412" customFormat="1" ht="33" customHeight="1">
      <c r="A22" s="502">
        <v>751</v>
      </c>
      <c r="B22" s="503"/>
      <c r="C22" s="504" t="s">
        <v>357</v>
      </c>
      <c r="D22" s="291">
        <f>D23</f>
        <v>17701.09</v>
      </c>
      <c r="E22" s="291">
        <f t="shared" ref="E22:N22" si="5">E23</f>
        <v>17701.09</v>
      </c>
      <c r="F22" s="291">
        <f t="shared" si="5"/>
        <v>17701.09</v>
      </c>
      <c r="G22" s="291">
        <f t="shared" si="5"/>
        <v>4224.45</v>
      </c>
      <c r="H22" s="291">
        <f t="shared" si="5"/>
        <v>12006.64</v>
      </c>
      <c r="I22" s="291">
        <f t="shared" si="5"/>
        <v>0</v>
      </c>
      <c r="J22" s="291">
        <f t="shared" si="5"/>
        <v>1470</v>
      </c>
      <c r="K22" s="291">
        <f t="shared" si="5"/>
        <v>0</v>
      </c>
      <c r="L22" s="291">
        <f t="shared" si="5"/>
        <v>0</v>
      </c>
      <c r="M22" s="291">
        <f t="shared" si="5"/>
        <v>0</v>
      </c>
      <c r="N22" s="291">
        <f t="shared" si="5"/>
        <v>100</v>
      </c>
      <c r="O22" s="411"/>
      <c r="P22" s="411"/>
      <c r="Q22" s="411"/>
      <c r="R22" s="411"/>
      <c r="S22" s="411"/>
      <c r="T22" s="411"/>
      <c r="U22" s="411"/>
      <c r="V22" s="411"/>
      <c r="W22" s="411"/>
      <c r="X22" s="411"/>
      <c r="Y22" s="411"/>
      <c r="Z22" s="411"/>
      <c r="AA22" s="411"/>
      <c r="AB22" s="411"/>
      <c r="AC22" s="411"/>
      <c r="AD22" s="411"/>
      <c r="AE22" s="411"/>
      <c r="AF22" s="411"/>
      <c r="AG22" s="411"/>
    </row>
    <row r="23" spans="1:33" s="58" customFormat="1" ht="42.75" customHeight="1">
      <c r="A23" s="417"/>
      <c r="B23" s="499">
        <v>75109</v>
      </c>
      <c r="C23" s="156" t="s">
        <v>356</v>
      </c>
      <c r="D23" s="293">
        <v>17701.09</v>
      </c>
      <c r="E23" s="293">
        <v>17701.09</v>
      </c>
      <c r="F23" s="293">
        <f>E23</f>
        <v>17701.09</v>
      </c>
      <c r="G23" s="295">
        <f>543.6+80.85+3600</f>
        <v>4224.45</v>
      </c>
      <c r="H23" s="293">
        <f>F23-G23-J23</f>
        <v>12006.64</v>
      </c>
      <c r="I23" s="293"/>
      <c r="J23" s="293">
        <v>1470</v>
      </c>
      <c r="K23" s="293"/>
      <c r="L23" s="293"/>
      <c r="M23" s="294"/>
      <c r="N23" s="474">
        <f t="shared" si="1"/>
        <v>100</v>
      </c>
      <c r="O23" s="57"/>
      <c r="P23" s="57"/>
      <c r="Q23" s="57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57"/>
      <c r="AG23" s="57"/>
    </row>
    <row r="24" spans="1:33" s="49" customFormat="1" ht="12.75" customHeight="1">
      <c r="A24" s="494">
        <v>754</v>
      </c>
      <c r="B24" s="494"/>
      <c r="C24" s="501" t="s">
        <v>107</v>
      </c>
      <c r="D24" s="291">
        <f>D25+D26</f>
        <v>3992923</v>
      </c>
      <c r="E24" s="291">
        <f t="shared" ref="E24:M24" si="6">E25+E26</f>
        <v>3988010.03</v>
      </c>
      <c r="F24" s="291">
        <f t="shared" si="6"/>
        <v>2992910.03</v>
      </c>
      <c r="G24" s="291">
        <f t="shared" si="6"/>
        <v>2420619.2800000003</v>
      </c>
      <c r="H24" s="291">
        <f t="shared" si="6"/>
        <v>414172.9599999995</v>
      </c>
      <c r="I24" s="291">
        <f t="shared" si="6"/>
        <v>0</v>
      </c>
      <c r="J24" s="291">
        <f t="shared" si="6"/>
        <v>158117.79</v>
      </c>
      <c r="K24" s="291">
        <f t="shared" si="6"/>
        <v>0</v>
      </c>
      <c r="L24" s="291">
        <f t="shared" si="6"/>
        <v>0</v>
      </c>
      <c r="M24" s="291">
        <f t="shared" si="6"/>
        <v>995100</v>
      </c>
      <c r="N24" s="296">
        <f t="shared" si="1"/>
        <v>99.876958058044181</v>
      </c>
      <c r="O24" s="48"/>
      <c r="P24" s="48"/>
      <c r="Q24" s="48"/>
      <c r="R24" s="48"/>
      <c r="S24" s="48"/>
      <c r="T24" s="48"/>
      <c r="U24" s="48"/>
      <c r="V24" s="48"/>
      <c r="W24" s="48"/>
      <c r="X24" s="48"/>
      <c r="Y24" s="48"/>
      <c r="Z24" s="48"/>
      <c r="AA24" s="48"/>
      <c r="AB24" s="48"/>
      <c r="AC24" s="48"/>
      <c r="AD24" s="48"/>
      <c r="AE24" s="48"/>
      <c r="AF24" s="48"/>
      <c r="AG24" s="48"/>
    </row>
    <row r="25" spans="1:33" s="58" customFormat="1" ht="12" customHeight="1">
      <c r="A25" s="416"/>
      <c r="B25" s="499">
        <v>75411</v>
      </c>
      <c r="C25" s="111" t="s">
        <v>109</v>
      </c>
      <c r="D25" s="293">
        <v>3986023</v>
      </c>
      <c r="E25" s="293">
        <v>3981110.03</v>
      </c>
      <c r="F25" s="293">
        <f>E25-M25</f>
        <v>2986010.03</v>
      </c>
      <c r="G25" s="293">
        <f>67000+4964.47+1915952.1+256741+162725.08+11472.27+1764.36</f>
        <v>2420619.2800000003</v>
      </c>
      <c r="H25" s="293">
        <f>F25-G25-J25</f>
        <v>407272.9599999995</v>
      </c>
      <c r="I25" s="293"/>
      <c r="J25" s="293">
        <v>158117.79</v>
      </c>
      <c r="K25" s="293"/>
      <c r="L25" s="293"/>
      <c r="M25" s="294">
        <v>995100</v>
      </c>
      <c r="N25" s="474">
        <f t="shared" si="1"/>
        <v>99.876745066448436</v>
      </c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</row>
    <row r="26" spans="1:33" s="58" customFormat="1" ht="12" customHeight="1">
      <c r="A26" s="416"/>
      <c r="B26" s="499">
        <v>75478</v>
      </c>
      <c r="C26" s="204" t="s">
        <v>355</v>
      </c>
      <c r="D26" s="293">
        <v>6900</v>
      </c>
      <c r="E26" s="293">
        <v>6900</v>
      </c>
      <c r="F26" s="293">
        <f>E26</f>
        <v>6900</v>
      </c>
      <c r="G26" s="293"/>
      <c r="H26" s="293">
        <f>F26</f>
        <v>6900</v>
      </c>
      <c r="I26" s="293"/>
      <c r="J26" s="293"/>
      <c r="K26" s="293"/>
      <c r="L26" s="293"/>
      <c r="M26" s="294"/>
      <c r="N26" s="474">
        <f t="shared" si="1"/>
        <v>100</v>
      </c>
      <c r="O26" s="57"/>
      <c r="P26" s="57"/>
      <c r="Q26" s="57"/>
      <c r="R26" s="57"/>
      <c r="S26" s="57"/>
      <c r="T26" s="57"/>
      <c r="U26" s="57"/>
      <c r="V26" s="57"/>
      <c r="W26" s="57"/>
      <c r="X26" s="57"/>
      <c r="Y26" s="57"/>
      <c r="Z26" s="57"/>
      <c r="AA26" s="57"/>
      <c r="AB26" s="57"/>
      <c r="AC26" s="57"/>
      <c r="AD26" s="57"/>
      <c r="AE26" s="57"/>
      <c r="AF26" s="57"/>
      <c r="AG26" s="57"/>
    </row>
    <row r="27" spans="1:33" s="49" customFormat="1" ht="13.5" customHeight="1">
      <c r="A27" s="494">
        <v>851</v>
      </c>
      <c r="B27" s="494"/>
      <c r="C27" s="505" t="s">
        <v>34</v>
      </c>
      <c r="D27" s="291">
        <f>D28</f>
        <v>2302000</v>
      </c>
      <c r="E27" s="291">
        <f t="shared" ref="E27:M27" si="7">E28</f>
        <v>2174883.0099999998</v>
      </c>
      <c r="F27" s="291">
        <f t="shared" si="7"/>
        <v>2174883.0099999998</v>
      </c>
      <c r="G27" s="291">
        <f t="shared" si="7"/>
        <v>0</v>
      </c>
      <c r="H27" s="291">
        <f t="shared" si="7"/>
        <v>2174883.0099999998</v>
      </c>
      <c r="I27" s="291">
        <f t="shared" si="7"/>
        <v>0</v>
      </c>
      <c r="J27" s="291">
        <f t="shared" si="7"/>
        <v>0</v>
      </c>
      <c r="K27" s="291">
        <f t="shared" si="7"/>
        <v>0</v>
      </c>
      <c r="L27" s="291">
        <f t="shared" si="7"/>
        <v>0</v>
      </c>
      <c r="M27" s="291">
        <f t="shared" si="7"/>
        <v>0</v>
      </c>
      <c r="N27" s="296">
        <f t="shared" si="1"/>
        <v>94.477976107732403</v>
      </c>
      <c r="O27" s="48"/>
      <c r="P27" s="48"/>
      <c r="Q27" s="48"/>
      <c r="R27" s="48"/>
      <c r="S27" s="48"/>
      <c r="T27" s="48"/>
      <c r="U27" s="48"/>
      <c r="V27" s="48"/>
      <c r="W27" s="48"/>
      <c r="X27" s="48"/>
      <c r="Y27" s="48"/>
      <c r="Z27" s="48"/>
      <c r="AA27" s="48"/>
      <c r="AB27" s="48"/>
      <c r="AC27" s="48"/>
      <c r="AD27" s="48"/>
      <c r="AE27" s="48"/>
      <c r="AF27" s="48"/>
      <c r="AG27" s="48"/>
    </row>
    <row r="28" spans="1:33" s="58" customFormat="1" ht="12">
      <c r="A28" s="416"/>
      <c r="B28" s="499">
        <v>85156</v>
      </c>
      <c r="C28" s="115" t="s">
        <v>88</v>
      </c>
      <c r="D28" s="293">
        <v>2302000</v>
      </c>
      <c r="E28" s="293">
        <v>2174883.0099999998</v>
      </c>
      <c r="F28" s="293">
        <f>E28</f>
        <v>2174883.0099999998</v>
      </c>
      <c r="G28" s="293"/>
      <c r="H28" s="293">
        <f>F28</f>
        <v>2174883.0099999998</v>
      </c>
      <c r="I28" s="293"/>
      <c r="J28" s="293"/>
      <c r="K28" s="293"/>
      <c r="L28" s="293"/>
      <c r="M28" s="294"/>
      <c r="N28" s="474">
        <f t="shared" si="1"/>
        <v>94.477976107732403</v>
      </c>
      <c r="O28" s="57"/>
      <c r="P28" s="57"/>
      <c r="Q28" s="57"/>
      <c r="R28" s="57"/>
      <c r="S28" s="57"/>
      <c r="T28" s="57"/>
      <c r="U28" s="57"/>
      <c r="V28" s="57"/>
      <c r="W28" s="57"/>
      <c r="X28" s="57"/>
      <c r="Y28" s="57"/>
      <c r="Z28" s="57"/>
      <c r="AA28" s="57"/>
      <c r="AB28" s="57"/>
      <c r="AC28" s="57"/>
      <c r="AD28" s="57"/>
      <c r="AE28" s="57"/>
      <c r="AF28" s="57"/>
      <c r="AG28" s="57"/>
    </row>
    <row r="29" spans="1:33" s="49" customFormat="1" ht="12">
      <c r="A29" s="494">
        <v>852</v>
      </c>
      <c r="B29" s="494"/>
      <c r="C29" s="501" t="s">
        <v>35</v>
      </c>
      <c r="D29" s="291">
        <f>SUM(D30:D31)</f>
        <v>725680</v>
      </c>
      <c r="E29" s="291">
        <f t="shared" ref="E29:M29" si="8">SUM(E30:E31)</f>
        <v>725462.59000000008</v>
      </c>
      <c r="F29" s="291">
        <f t="shared" si="8"/>
        <v>725462.59000000008</v>
      </c>
      <c r="G29" s="291">
        <f t="shared" si="8"/>
        <v>534977.74</v>
      </c>
      <c r="H29" s="291">
        <f t="shared" si="8"/>
        <v>190210.61</v>
      </c>
      <c r="I29" s="291">
        <f t="shared" si="8"/>
        <v>0</v>
      </c>
      <c r="J29" s="291">
        <f t="shared" si="8"/>
        <v>274.24</v>
      </c>
      <c r="K29" s="291">
        <f t="shared" si="8"/>
        <v>0</v>
      </c>
      <c r="L29" s="291">
        <f t="shared" si="8"/>
        <v>0</v>
      </c>
      <c r="M29" s="291">
        <f t="shared" si="8"/>
        <v>0</v>
      </c>
      <c r="N29" s="296">
        <f t="shared" si="1"/>
        <v>99.970040513725067</v>
      </c>
      <c r="O29" s="48"/>
      <c r="P29" s="48"/>
      <c r="Q29" s="48"/>
      <c r="R29" s="48"/>
      <c r="S29" s="48"/>
      <c r="T29" s="48"/>
      <c r="U29" s="48"/>
      <c r="V29" s="48"/>
      <c r="W29" s="48"/>
      <c r="X29" s="48"/>
      <c r="Y29" s="48"/>
      <c r="Z29" s="48"/>
      <c r="AA29" s="48"/>
      <c r="AB29" s="48"/>
      <c r="AC29" s="48"/>
      <c r="AD29" s="48"/>
      <c r="AE29" s="48"/>
      <c r="AF29" s="48"/>
      <c r="AG29" s="48"/>
    </row>
    <row r="30" spans="1:33" s="58" customFormat="1" ht="12">
      <c r="A30" s="551"/>
      <c r="B30" s="499">
        <v>85203</v>
      </c>
      <c r="C30" s="111" t="s">
        <v>91</v>
      </c>
      <c r="D30" s="293">
        <v>403180</v>
      </c>
      <c r="E30" s="293">
        <v>403164.76</v>
      </c>
      <c r="F30" s="295">
        <f>E30</f>
        <v>403164.76</v>
      </c>
      <c r="G30" s="295">
        <f>236913.7+16704.52+38623.66+5606.26+16820</f>
        <v>314668.14</v>
      </c>
      <c r="H30" s="293">
        <f>F30-G30-J30</f>
        <v>88255.4</v>
      </c>
      <c r="I30" s="293"/>
      <c r="J30" s="293">
        <v>241.22</v>
      </c>
      <c r="K30" s="293"/>
      <c r="L30" s="293"/>
      <c r="M30" s="294">
        <v>0</v>
      </c>
      <c r="N30" s="474">
        <f t="shared" si="1"/>
        <v>99.996220050597756</v>
      </c>
      <c r="O30" s="57"/>
      <c r="P30" s="57"/>
      <c r="Q30" s="57"/>
      <c r="R30" s="57"/>
      <c r="S30" s="57"/>
      <c r="T30" s="57"/>
      <c r="U30" s="57"/>
      <c r="V30" s="57"/>
      <c r="W30" s="57"/>
      <c r="X30" s="57"/>
      <c r="Y30" s="57"/>
      <c r="Z30" s="57"/>
      <c r="AA30" s="57"/>
      <c r="AB30" s="57"/>
      <c r="AC30" s="57"/>
      <c r="AD30" s="57"/>
      <c r="AE30" s="57"/>
      <c r="AF30" s="57"/>
      <c r="AG30" s="57"/>
    </row>
    <row r="31" spans="1:33" s="58" customFormat="1" ht="22.5">
      <c r="A31" s="553"/>
      <c r="B31" s="499">
        <v>85205</v>
      </c>
      <c r="C31" s="204" t="s">
        <v>257</v>
      </c>
      <c r="D31" s="293">
        <v>322500</v>
      </c>
      <c r="E31" s="293">
        <v>322297.83</v>
      </c>
      <c r="F31" s="293">
        <f>E31</f>
        <v>322297.83</v>
      </c>
      <c r="G31" s="293">
        <f>151904.28+11431.72+26037.5+4172.1+26764</f>
        <v>220309.6</v>
      </c>
      <c r="H31" s="293">
        <f>F31-G31-J31</f>
        <v>101955.21</v>
      </c>
      <c r="I31" s="293"/>
      <c r="J31" s="293">
        <v>33.020000000000003</v>
      </c>
      <c r="K31" s="293"/>
      <c r="L31" s="293"/>
      <c r="M31" s="294"/>
      <c r="N31" s="474">
        <f t="shared" si="1"/>
        <v>99.937311627906979</v>
      </c>
      <c r="O31" s="57"/>
      <c r="P31" s="57"/>
      <c r="Q31" s="57"/>
      <c r="R31" s="57"/>
      <c r="S31" s="57"/>
      <c r="T31" s="57"/>
      <c r="U31" s="57"/>
      <c r="V31" s="57"/>
      <c r="W31" s="57"/>
      <c r="X31" s="57"/>
      <c r="Y31" s="57"/>
      <c r="Z31" s="57"/>
      <c r="AA31" s="57"/>
      <c r="AB31" s="57"/>
      <c r="AC31" s="57"/>
      <c r="AD31" s="57"/>
      <c r="AE31" s="57"/>
      <c r="AF31" s="57"/>
      <c r="AG31" s="57"/>
    </row>
    <row r="32" spans="1:33" s="49" customFormat="1" ht="22.5" customHeight="1">
      <c r="A32" s="494">
        <v>853</v>
      </c>
      <c r="B32" s="494"/>
      <c r="C32" s="501" t="s">
        <v>116</v>
      </c>
      <c r="D32" s="291">
        <f>D33+D34</f>
        <v>132147</v>
      </c>
      <c r="E32" s="291">
        <f t="shared" ref="E32:M32" si="9">E33+E34</f>
        <v>130978.56</v>
      </c>
      <c r="F32" s="291">
        <f t="shared" si="9"/>
        <v>130978.56</v>
      </c>
      <c r="G32" s="291">
        <f t="shared" si="9"/>
        <v>57665.229999999996</v>
      </c>
      <c r="H32" s="291">
        <f t="shared" si="9"/>
        <v>28292.520000000004</v>
      </c>
      <c r="I32" s="291">
        <f t="shared" si="9"/>
        <v>0</v>
      </c>
      <c r="J32" s="291">
        <f t="shared" si="9"/>
        <v>45020.81</v>
      </c>
      <c r="K32" s="291">
        <f t="shared" si="9"/>
        <v>0</v>
      </c>
      <c r="L32" s="291">
        <f t="shared" si="9"/>
        <v>0</v>
      </c>
      <c r="M32" s="291">
        <f t="shared" si="9"/>
        <v>0</v>
      </c>
      <c r="N32" s="296">
        <f t="shared" si="1"/>
        <v>99.115802855910459</v>
      </c>
      <c r="O32" s="48"/>
      <c r="P32" s="48"/>
      <c r="Q32" s="48"/>
      <c r="R32" s="48"/>
      <c r="S32" s="48"/>
      <c r="T32" s="48"/>
      <c r="U32" s="48"/>
      <c r="V32" s="48"/>
      <c r="W32" s="48"/>
      <c r="X32" s="48"/>
      <c r="Y32" s="48"/>
      <c r="Z32" s="48"/>
      <c r="AA32" s="48"/>
      <c r="AB32" s="48"/>
      <c r="AC32" s="48"/>
      <c r="AD32" s="48"/>
      <c r="AE32" s="48"/>
      <c r="AF32" s="48"/>
      <c r="AG32" s="48"/>
    </row>
    <row r="33" spans="1:33" s="58" customFormat="1" ht="12" customHeight="1">
      <c r="A33" s="649"/>
      <c r="B33" s="209">
        <v>85321</v>
      </c>
      <c r="C33" s="111" t="s">
        <v>117</v>
      </c>
      <c r="D33" s="293">
        <v>86000</v>
      </c>
      <c r="E33" s="293">
        <v>85957.75</v>
      </c>
      <c r="F33" s="293">
        <f>E33</f>
        <v>85957.75</v>
      </c>
      <c r="G33" s="293">
        <f>34796+1932.84+5965.85+941.54+14029</f>
        <v>57665.229999999996</v>
      </c>
      <c r="H33" s="293">
        <f>F33-G33</f>
        <v>28292.520000000004</v>
      </c>
      <c r="I33" s="293"/>
      <c r="J33" s="293"/>
      <c r="K33" s="293"/>
      <c r="L33" s="293"/>
      <c r="M33" s="294"/>
      <c r="N33" s="474">
        <f t="shared" si="1"/>
        <v>99.950872093023264</v>
      </c>
      <c r="O33" s="57"/>
      <c r="P33" s="57"/>
      <c r="Q33" s="57"/>
      <c r="R33" s="57"/>
      <c r="S33" s="57"/>
      <c r="T33" s="57"/>
      <c r="U33" s="57"/>
      <c r="V33" s="57"/>
      <c r="W33" s="57"/>
      <c r="X33" s="57"/>
      <c r="Y33" s="57"/>
      <c r="Z33" s="57"/>
      <c r="AA33" s="57"/>
      <c r="AB33" s="57"/>
      <c r="AC33" s="57"/>
      <c r="AD33" s="57"/>
      <c r="AE33" s="57"/>
      <c r="AF33" s="57"/>
      <c r="AG33" s="57"/>
    </row>
    <row r="34" spans="1:33" s="58" customFormat="1" ht="14.25" customHeight="1">
      <c r="A34" s="650"/>
      <c r="B34" s="209">
        <v>85334</v>
      </c>
      <c r="C34" s="114" t="s">
        <v>126</v>
      </c>
      <c r="D34" s="293">
        <v>46147</v>
      </c>
      <c r="E34" s="293">
        <v>45020.81</v>
      </c>
      <c r="F34" s="293">
        <f>E34</f>
        <v>45020.81</v>
      </c>
      <c r="G34" s="293"/>
      <c r="H34" s="293"/>
      <c r="I34" s="293"/>
      <c r="J34" s="293">
        <f>F34</f>
        <v>45020.81</v>
      </c>
      <c r="K34" s="293"/>
      <c r="L34" s="293"/>
      <c r="M34" s="294"/>
      <c r="N34" s="474">
        <f t="shared" si="1"/>
        <v>97.559559668017414</v>
      </c>
      <c r="O34" s="57"/>
      <c r="P34" s="57"/>
      <c r="Q34" s="57"/>
      <c r="R34" s="57"/>
      <c r="S34" s="57"/>
      <c r="T34" s="57"/>
      <c r="U34" s="57"/>
      <c r="V34" s="57"/>
      <c r="W34" s="57"/>
      <c r="X34" s="57"/>
      <c r="Y34" s="57"/>
      <c r="Z34" s="57"/>
      <c r="AA34" s="57"/>
      <c r="AB34" s="57"/>
      <c r="AC34" s="57"/>
      <c r="AD34" s="57"/>
      <c r="AE34" s="57"/>
      <c r="AF34" s="57"/>
      <c r="AG34" s="57"/>
    </row>
    <row r="35" spans="1:33" s="49" customFormat="1" ht="12">
      <c r="A35" s="651" t="s">
        <v>26</v>
      </c>
      <c r="B35" s="652"/>
      <c r="C35" s="653"/>
      <c r="D35" s="292">
        <f>D11+D13+D15+D19+D24+D27+D29+D32+D22:E22</f>
        <v>7807820.0899999999</v>
      </c>
      <c r="E35" s="292">
        <f t="shared" ref="E35:L35" si="10">E11+E13+E15+E19+E24+E27+E29+E32+E22:F22</f>
        <v>7669060.7799999984</v>
      </c>
      <c r="F35" s="292">
        <f t="shared" si="10"/>
        <v>6673960.7799999984</v>
      </c>
      <c r="G35" s="292">
        <f t="shared" si="10"/>
        <v>3400713.5500000003</v>
      </c>
      <c r="H35" s="292">
        <f>H11+H13+H15+H19+H24+H27+H29+H32+H22:I22</f>
        <v>3066364.3899999992</v>
      </c>
      <c r="I35" s="292">
        <f t="shared" si="10"/>
        <v>0</v>
      </c>
      <c r="J35" s="292">
        <f t="shared" si="10"/>
        <v>206882.84</v>
      </c>
      <c r="K35" s="292">
        <f>K11+K13+K15+K19+K24+K27+K29+K32+K22:L22</f>
        <v>0</v>
      </c>
      <c r="L35" s="292">
        <f t="shared" si="10"/>
        <v>0</v>
      </c>
      <c r="M35" s="292">
        <f>M11+M13+M15+M19+M24+M27+M29+M32+M22:N22</f>
        <v>995100</v>
      </c>
      <c r="N35" s="296">
        <f t="shared" si="1"/>
        <v>98.222816248318537</v>
      </c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</row>
  </sheetData>
  <mergeCells count="19">
    <mergeCell ref="A33:A34"/>
    <mergeCell ref="A35:C35"/>
    <mergeCell ref="N7:N9"/>
    <mergeCell ref="M8:M9"/>
    <mergeCell ref="F8:F9"/>
    <mergeCell ref="D7:D9"/>
    <mergeCell ref="F7:M7"/>
    <mergeCell ref="A7:A9"/>
    <mergeCell ref="B7:B9"/>
    <mergeCell ref="C7:C9"/>
    <mergeCell ref="E7:E9"/>
    <mergeCell ref="A16:A18"/>
    <mergeCell ref="A20:A21"/>
    <mergeCell ref="A30:A31"/>
    <mergeCell ref="D1:N1"/>
    <mergeCell ref="A2:N2"/>
    <mergeCell ref="A3:N3"/>
    <mergeCell ref="A4:N4"/>
    <mergeCell ref="A5:N5"/>
  </mergeCells>
  <phoneticPr fontId="0" type="noConversion"/>
  <pageMargins left="0.78740157480314965" right="0.19685039370078741" top="0.74803149606299213" bottom="0.78740157480314965" header="0.27559055118110237" footer="0.51181102362204722"/>
  <pageSetup paperSize="9" orientation="landscape" r:id="rId1"/>
  <headerFooter alignWithMargins="0">
    <oddFooter>&amp;C&amp;"Times New (W1),Standardowy"Tabela Nr 12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>
  <dimension ref="A1:K23"/>
  <sheetViews>
    <sheetView view="pageLayout" workbookViewId="0">
      <selection activeCell="F32" sqref="F32:F36"/>
    </sheetView>
  </sheetViews>
  <sheetFormatPr defaultRowHeight="12.75"/>
  <cols>
    <col min="1" max="1" width="6.5703125" customWidth="1"/>
    <col min="2" max="2" width="7" customWidth="1"/>
    <col min="3" max="3" width="25.42578125" customWidth="1"/>
    <col min="4" max="4" width="11.85546875" customWidth="1"/>
    <col min="5" max="5" width="11.5703125" customWidth="1"/>
    <col min="6" max="6" width="11.42578125" customWidth="1"/>
    <col min="7" max="7" width="9.28515625" bestFit="1" customWidth="1"/>
    <col min="8" max="8" width="10.28515625" customWidth="1"/>
    <col min="9" max="9" width="11.7109375" customWidth="1"/>
    <col min="10" max="10" width="10.28515625" customWidth="1"/>
    <col min="11" max="11" width="11.28515625" customWidth="1"/>
  </cols>
  <sheetData>
    <row r="1" spans="1:11">
      <c r="A1" s="42"/>
      <c r="B1" s="42"/>
      <c r="C1" s="42"/>
      <c r="D1" s="42"/>
      <c r="E1" s="42"/>
      <c r="F1" s="42"/>
      <c r="G1" s="42"/>
      <c r="H1" s="42"/>
      <c r="I1" s="42"/>
      <c r="J1" s="672" t="s">
        <v>373</v>
      </c>
      <c r="K1" s="672"/>
    </row>
    <row r="2" spans="1:11">
      <c r="A2" s="42"/>
      <c r="B2" s="42"/>
      <c r="C2" s="42"/>
      <c r="D2" s="42"/>
      <c r="E2" s="42"/>
      <c r="F2" s="42"/>
      <c r="G2" s="42"/>
      <c r="H2" s="42"/>
      <c r="I2" s="42"/>
      <c r="J2" s="673"/>
      <c r="K2" s="673"/>
    </row>
    <row r="3" spans="1:11">
      <c r="A3" s="42"/>
      <c r="B3" s="42"/>
      <c r="C3" s="42"/>
      <c r="D3" s="42"/>
      <c r="E3" s="42"/>
      <c r="F3" s="42"/>
      <c r="G3" s="42"/>
      <c r="H3" s="42"/>
      <c r="I3" s="42"/>
      <c r="J3" s="673"/>
      <c r="K3" s="673"/>
    </row>
    <row r="4" spans="1:11">
      <c r="A4" s="42"/>
      <c r="B4" s="42"/>
      <c r="C4" s="42"/>
      <c r="D4" s="42"/>
      <c r="E4" s="42"/>
      <c r="F4" s="42"/>
      <c r="G4" s="42"/>
      <c r="H4" s="42"/>
      <c r="I4" s="42"/>
      <c r="J4" s="673"/>
      <c r="K4" s="673"/>
    </row>
    <row r="5" spans="1:11" ht="15.75">
      <c r="A5" s="659" t="s">
        <v>374</v>
      </c>
      <c r="B5" s="659"/>
      <c r="C5" s="659"/>
      <c r="D5" s="659"/>
      <c r="E5" s="659"/>
      <c r="F5" s="659"/>
      <c r="G5" s="659"/>
      <c r="H5" s="659"/>
      <c r="I5" s="659"/>
      <c r="J5" s="659"/>
      <c r="K5" s="659"/>
    </row>
    <row r="6" spans="1:11" ht="15.75">
      <c r="A6" s="671" t="s">
        <v>375</v>
      </c>
      <c r="B6" s="671"/>
      <c r="C6" s="671"/>
      <c r="D6" s="671"/>
      <c r="E6" s="671"/>
      <c r="F6" s="671"/>
      <c r="G6" s="671"/>
      <c r="H6" s="671"/>
      <c r="I6" s="671"/>
      <c r="J6" s="671"/>
      <c r="K6" s="671"/>
    </row>
    <row r="7" spans="1:11" ht="15.75">
      <c r="A7" s="659" t="s">
        <v>376</v>
      </c>
      <c r="B7" s="659"/>
      <c r="C7" s="659"/>
      <c r="D7" s="659"/>
      <c r="E7" s="659"/>
      <c r="F7" s="659"/>
      <c r="G7" s="659"/>
      <c r="H7" s="659"/>
      <c r="I7" s="659"/>
      <c r="J7" s="659"/>
      <c r="K7" s="659"/>
    </row>
    <row r="8" spans="1:11">
      <c r="A8" s="42"/>
      <c r="B8" s="42"/>
      <c r="C8" s="42"/>
      <c r="D8" s="42"/>
      <c r="E8" s="42"/>
      <c r="F8" s="42"/>
      <c r="G8" s="42"/>
      <c r="H8" s="42"/>
      <c r="I8" s="42"/>
      <c r="J8" s="42"/>
      <c r="K8" s="42"/>
    </row>
    <row r="9" spans="1:11">
      <c r="A9" s="42"/>
      <c r="B9" s="42"/>
      <c r="C9" s="42"/>
      <c r="D9" s="42"/>
      <c r="E9" s="42"/>
      <c r="F9" s="42"/>
      <c r="G9" s="42"/>
      <c r="H9" s="42"/>
      <c r="I9" s="42"/>
      <c r="J9" s="42"/>
      <c r="K9" s="420" t="s">
        <v>168</v>
      </c>
    </row>
    <row r="10" spans="1:11" ht="12.75" customHeight="1">
      <c r="A10" s="562" t="s">
        <v>0</v>
      </c>
      <c r="B10" s="562" t="s">
        <v>7</v>
      </c>
      <c r="C10" s="562" t="s">
        <v>160</v>
      </c>
      <c r="D10" s="562" t="s">
        <v>377</v>
      </c>
      <c r="E10" s="562" t="s">
        <v>386</v>
      </c>
      <c r="F10" s="660" t="s">
        <v>378</v>
      </c>
      <c r="G10" s="661"/>
      <c r="H10" s="661"/>
      <c r="I10" s="661"/>
      <c r="J10" s="554"/>
      <c r="K10" s="562" t="s">
        <v>150</v>
      </c>
    </row>
    <row r="11" spans="1:11">
      <c r="A11" s="563"/>
      <c r="B11" s="563"/>
      <c r="C11" s="563"/>
      <c r="D11" s="563"/>
      <c r="E11" s="563"/>
      <c r="F11" s="662" t="s">
        <v>8</v>
      </c>
      <c r="G11" s="597" t="s">
        <v>379</v>
      </c>
      <c r="H11" s="663"/>
      <c r="I11" s="663"/>
      <c r="J11" s="664"/>
      <c r="K11" s="563"/>
    </row>
    <row r="12" spans="1:11">
      <c r="A12" s="563"/>
      <c r="B12" s="563"/>
      <c r="C12" s="563"/>
      <c r="D12" s="563"/>
      <c r="E12" s="563"/>
      <c r="F12" s="662"/>
      <c r="G12" s="665" t="s">
        <v>380</v>
      </c>
      <c r="H12" s="666" t="s">
        <v>381</v>
      </c>
      <c r="I12" s="669" t="s">
        <v>382</v>
      </c>
      <c r="J12" s="669" t="s">
        <v>383</v>
      </c>
      <c r="K12" s="563"/>
    </row>
    <row r="13" spans="1:11">
      <c r="A13" s="563"/>
      <c r="B13" s="563"/>
      <c r="C13" s="563"/>
      <c r="D13" s="563"/>
      <c r="E13" s="563"/>
      <c r="F13" s="662"/>
      <c r="G13" s="665"/>
      <c r="H13" s="667"/>
      <c r="I13" s="669"/>
      <c r="J13" s="669"/>
      <c r="K13" s="563"/>
    </row>
    <row r="14" spans="1:11">
      <c r="A14" s="564"/>
      <c r="B14" s="564"/>
      <c r="C14" s="564"/>
      <c r="D14" s="564"/>
      <c r="E14" s="564"/>
      <c r="F14" s="662"/>
      <c r="G14" s="665"/>
      <c r="H14" s="668"/>
      <c r="I14" s="669"/>
      <c r="J14" s="669"/>
      <c r="K14" s="564"/>
    </row>
    <row r="15" spans="1:11">
      <c r="A15" s="419">
        <v>1</v>
      </c>
      <c r="B15" s="424">
        <v>2</v>
      </c>
      <c r="C15" s="419">
        <v>3</v>
      </c>
      <c r="D15" s="424">
        <v>4</v>
      </c>
      <c r="E15" s="419">
        <v>5</v>
      </c>
      <c r="F15" s="424">
        <v>6</v>
      </c>
      <c r="G15" s="419">
        <v>7</v>
      </c>
      <c r="H15" s="424">
        <v>8</v>
      </c>
      <c r="I15" s="419">
        <v>9</v>
      </c>
      <c r="J15" s="424">
        <v>10</v>
      </c>
      <c r="K15" s="419">
        <v>11</v>
      </c>
    </row>
    <row r="16" spans="1:11" ht="24">
      <c r="A16" s="425">
        <v>754</v>
      </c>
      <c r="B16" s="426"/>
      <c r="C16" s="427" t="s">
        <v>384</v>
      </c>
      <c r="D16" s="434">
        <f>D17</f>
        <v>6162.96</v>
      </c>
      <c r="E16" s="435">
        <f>E17</f>
        <v>6162.96</v>
      </c>
      <c r="F16" s="435">
        <f>F17</f>
        <v>6162.96</v>
      </c>
      <c r="G16" s="435"/>
      <c r="H16" s="435">
        <f>H17</f>
        <v>6162.96</v>
      </c>
      <c r="I16" s="435"/>
      <c r="J16" s="435"/>
      <c r="K16" s="435"/>
    </row>
    <row r="17" spans="1:11">
      <c r="A17" s="422"/>
      <c r="B17" s="421">
        <v>75421</v>
      </c>
      <c r="C17" s="428" t="s">
        <v>385</v>
      </c>
      <c r="D17" s="436">
        <v>6162.96</v>
      </c>
      <c r="E17" s="437">
        <f>D17</f>
        <v>6162.96</v>
      </c>
      <c r="F17" s="437">
        <f>E17</f>
        <v>6162.96</v>
      </c>
      <c r="G17" s="437"/>
      <c r="H17" s="437">
        <f>F17</f>
        <v>6162.96</v>
      </c>
      <c r="I17" s="437"/>
      <c r="J17" s="437"/>
      <c r="K17" s="437"/>
    </row>
    <row r="18" spans="1:11">
      <c r="A18" s="425">
        <v>852</v>
      </c>
      <c r="B18" s="425" t="s">
        <v>12</v>
      </c>
      <c r="C18" s="429" t="s">
        <v>35</v>
      </c>
      <c r="D18" s="438">
        <f>D19+D20</f>
        <v>1986239.35</v>
      </c>
      <c r="E18" s="439">
        <f>SUM(E19:E20)</f>
        <v>1986239.35</v>
      </c>
      <c r="F18" s="439">
        <f>SUM(F19:F20)</f>
        <v>1986239.35</v>
      </c>
      <c r="G18" s="439">
        <f>SUM(G19:G19)</f>
        <v>0</v>
      </c>
      <c r="H18" s="439">
        <f>H19</f>
        <v>109336.86</v>
      </c>
      <c r="I18" s="439">
        <f>I19+I20</f>
        <v>1766395.44</v>
      </c>
      <c r="J18" s="439">
        <f>J19+J20</f>
        <v>110507.05</v>
      </c>
      <c r="K18" s="439"/>
    </row>
    <row r="19" spans="1:11" ht="24">
      <c r="A19" s="670"/>
      <c r="B19" s="51">
        <v>85201</v>
      </c>
      <c r="C19" s="430" t="s">
        <v>89</v>
      </c>
      <c r="D19" s="440">
        <v>1875732.3</v>
      </c>
      <c r="E19" s="441">
        <f>D19</f>
        <v>1875732.3</v>
      </c>
      <c r="F19" s="437">
        <f>E19</f>
        <v>1875732.3</v>
      </c>
      <c r="G19" s="441"/>
      <c r="H19" s="441">
        <v>109336.86</v>
      </c>
      <c r="I19" s="437">
        <v>1766395.44</v>
      </c>
      <c r="J19" s="437"/>
      <c r="K19" s="437"/>
    </row>
    <row r="20" spans="1:11">
      <c r="A20" s="670"/>
      <c r="B20" s="51">
        <v>85204</v>
      </c>
      <c r="C20" s="431" t="s">
        <v>114</v>
      </c>
      <c r="D20" s="436">
        <v>110507.05</v>
      </c>
      <c r="E20" s="441">
        <f>D20</f>
        <v>110507.05</v>
      </c>
      <c r="F20" s="437">
        <f>E20</f>
        <v>110507.05</v>
      </c>
      <c r="G20" s="441"/>
      <c r="H20" s="441"/>
      <c r="I20" s="437"/>
      <c r="J20" s="437">
        <f>E20</f>
        <v>110507.05</v>
      </c>
      <c r="K20" s="437"/>
    </row>
    <row r="21" spans="1:11">
      <c r="A21" s="658" t="s">
        <v>26</v>
      </c>
      <c r="B21" s="658"/>
      <c r="C21" s="410"/>
      <c r="D21" s="442">
        <f>D18+D16</f>
        <v>1992402.31</v>
      </c>
      <c r="E21" s="443">
        <f t="shared" ref="E21:K21" si="0">E16+E18</f>
        <v>1992402.31</v>
      </c>
      <c r="F21" s="443">
        <f t="shared" si="0"/>
        <v>1992402.31</v>
      </c>
      <c r="G21" s="443">
        <f t="shared" si="0"/>
        <v>0</v>
      </c>
      <c r="H21" s="443">
        <f t="shared" si="0"/>
        <v>115499.82</v>
      </c>
      <c r="I21" s="443">
        <f t="shared" si="0"/>
        <v>1766395.44</v>
      </c>
      <c r="J21" s="443">
        <f t="shared" si="0"/>
        <v>110507.05</v>
      </c>
      <c r="K21" s="444">
        <f t="shared" si="0"/>
        <v>0</v>
      </c>
    </row>
    <row r="22" spans="1:11">
      <c r="A22" s="432"/>
      <c r="B22" s="432"/>
      <c r="C22" s="432"/>
      <c r="D22" s="433"/>
      <c r="E22" s="432"/>
      <c r="F22" s="432"/>
      <c r="G22" s="432"/>
      <c r="H22" s="432"/>
      <c r="I22" s="432"/>
      <c r="J22" s="432"/>
      <c r="K22" s="432"/>
    </row>
    <row r="23" spans="1:11">
      <c r="A23" s="432"/>
      <c r="B23" s="432"/>
      <c r="C23" s="432"/>
      <c r="D23" s="432"/>
      <c r="E23" s="432"/>
      <c r="F23" s="432"/>
      <c r="G23" s="432"/>
      <c r="H23" s="432"/>
      <c r="I23" s="432"/>
      <c r="J23" s="432"/>
      <c r="K23" s="432"/>
    </row>
  </sheetData>
  <mergeCells count="22">
    <mergeCell ref="A6:K6"/>
    <mergeCell ref="J1:K1"/>
    <mergeCell ref="J2:K2"/>
    <mergeCell ref="J3:K3"/>
    <mergeCell ref="J4:K4"/>
    <mergeCell ref="A5:K5"/>
    <mergeCell ref="A21:B21"/>
    <mergeCell ref="A7:K7"/>
    <mergeCell ref="A10:A14"/>
    <mergeCell ref="B10:B14"/>
    <mergeCell ref="C10:C14"/>
    <mergeCell ref="D10:D14"/>
    <mergeCell ref="E10:E14"/>
    <mergeCell ref="F10:J10"/>
    <mergeCell ref="K10:K14"/>
    <mergeCell ref="F11:F14"/>
    <mergeCell ref="G11:J11"/>
    <mergeCell ref="G12:G14"/>
    <mergeCell ref="H12:H14"/>
    <mergeCell ref="I12:I14"/>
    <mergeCell ref="J12:J14"/>
    <mergeCell ref="A19:A20"/>
  </mergeCells>
  <pageMargins left="0.7" right="0.7" top="0.75" bottom="0.75" header="0.3" footer="0.3"/>
  <pageSetup paperSize="9" orientation="landscape" r:id="rId1"/>
  <headerFooter>
    <oddFooter>&amp;CTabela Nr 13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>
  <dimension ref="A1:D47"/>
  <sheetViews>
    <sheetView workbookViewId="0">
      <selection activeCell="K25" sqref="K25"/>
    </sheetView>
  </sheetViews>
  <sheetFormatPr defaultRowHeight="12.75"/>
  <cols>
    <col min="1" max="1" width="46" customWidth="1"/>
    <col min="2" max="2" width="26.42578125" customWidth="1"/>
    <col min="4" max="4" width="6.28515625" customWidth="1"/>
  </cols>
  <sheetData>
    <row r="1" spans="1:4" ht="15">
      <c r="A1" s="526"/>
      <c r="B1" s="704" t="s">
        <v>492</v>
      </c>
      <c r="C1" s="704"/>
      <c r="D1" s="527"/>
    </row>
    <row r="2" spans="1:4" ht="15.75">
      <c r="A2" s="528"/>
      <c r="B2" s="528"/>
      <c r="C2" s="528"/>
      <c r="D2" s="529"/>
    </row>
    <row r="3" spans="1:4" ht="21.75" customHeight="1">
      <c r="A3" s="705" t="s">
        <v>493</v>
      </c>
      <c r="B3" s="705"/>
      <c r="C3" s="705"/>
      <c r="D3" s="529"/>
    </row>
    <row r="4" spans="1:4" ht="21.75" customHeight="1">
      <c r="A4" s="705" t="s">
        <v>494</v>
      </c>
      <c r="B4" s="705"/>
      <c r="C4" s="705"/>
      <c r="D4" s="529"/>
    </row>
    <row r="5" spans="1:4" ht="19.5" customHeight="1">
      <c r="A5" s="705" t="s">
        <v>495</v>
      </c>
      <c r="B5" s="705"/>
      <c r="C5" s="705"/>
      <c r="D5" s="529"/>
    </row>
    <row r="6" spans="1:4" ht="16.5" thickBot="1">
      <c r="A6" s="530"/>
      <c r="B6" s="528"/>
      <c r="C6" s="528"/>
      <c r="D6" s="531"/>
    </row>
    <row r="7" spans="1:4" ht="16.5" thickBot="1">
      <c r="A7" s="532" t="s">
        <v>496</v>
      </c>
      <c r="B7" s="532" t="s">
        <v>497</v>
      </c>
      <c r="C7" s="706" t="s">
        <v>498</v>
      </c>
      <c r="D7" s="707"/>
    </row>
    <row r="8" spans="1:4" ht="15.75">
      <c r="A8" s="533" t="s">
        <v>499</v>
      </c>
      <c r="B8" s="534" t="s">
        <v>500</v>
      </c>
      <c r="C8" s="708">
        <v>100</v>
      </c>
      <c r="D8" s="709"/>
    </row>
    <row r="9" spans="1:4" ht="15.75">
      <c r="A9" s="533" t="s">
        <v>379</v>
      </c>
      <c r="B9" s="534"/>
      <c r="C9" s="702"/>
      <c r="D9" s="703"/>
    </row>
    <row r="10" spans="1:4" ht="15.75">
      <c r="A10" s="534"/>
      <c r="B10" s="535"/>
      <c r="C10" s="695"/>
      <c r="D10" s="696"/>
    </row>
    <row r="11" spans="1:4" ht="15.75">
      <c r="A11" s="536" t="s">
        <v>501</v>
      </c>
      <c r="B11" s="535">
        <v>0</v>
      </c>
      <c r="C11" s="695">
        <v>0</v>
      </c>
      <c r="D11" s="696"/>
    </row>
    <row r="12" spans="1:4" ht="15.75">
      <c r="A12" s="535"/>
      <c r="B12" s="535"/>
      <c r="C12" s="695"/>
      <c r="D12" s="696"/>
    </row>
    <row r="13" spans="1:4" ht="15.75">
      <c r="A13" s="536" t="s">
        <v>502</v>
      </c>
      <c r="B13" s="535" t="s">
        <v>500</v>
      </c>
      <c r="C13" s="695">
        <v>100</v>
      </c>
      <c r="D13" s="696"/>
    </row>
    <row r="14" spans="1:4" ht="15.75">
      <c r="A14" s="535"/>
      <c r="B14" s="535"/>
      <c r="C14" s="695"/>
      <c r="D14" s="696"/>
    </row>
    <row r="15" spans="1:4" ht="15.75">
      <c r="A15" s="536" t="s">
        <v>503</v>
      </c>
      <c r="B15" s="535">
        <v>0</v>
      </c>
      <c r="C15" s="695">
        <v>0</v>
      </c>
      <c r="D15" s="696"/>
    </row>
    <row r="16" spans="1:4" ht="15.75">
      <c r="A16" s="535"/>
      <c r="B16" s="535"/>
      <c r="C16" s="695"/>
      <c r="D16" s="696"/>
    </row>
    <row r="17" spans="1:4" ht="23.25" customHeight="1">
      <c r="A17" s="699" t="s">
        <v>504</v>
      </c>
      <c r="B17" s="535">
        <v>0</v>
      </c>
      <c r="C17" s="695">
        <v>0</v>
      </c>
      <c r="D17" s="696"/>
    </row>
    <row r="18" spans="1:4" ht="15.75">
      <c r="A18" s="699"/>
      <c r="B18" s="535" t="s">
        <v>505</v>
      </c>
      <c r="C18" s="695"/>
      <c r="D18" s="696"/>
    </row>
    <row r="19" spans="1:4" ht="15.75">
      <c r="A19" s="536" t="s">
        <v>506</v>
      </c>
      <c r="B19" s="535"/>
      <c r="C19" s="695"/>
      <c r="D19" s="696"/>
    </row>
    <row r="20" spans="1:4" ht="16.5" thickBot="1">
      <c r="A20" s="536" t="s">
        <v>507</v>
      </c>
      <c r="B20" s="535">
        <v>0</v>
      </c>
      <c r="C20" s="700" t="s">
        <v>508</v>
      </c>
      <c r="D20" s="701"/>
    </row>
    <row r="21" spans="1:4" ht="15.75">
      <c r="A21" s="537"/>
      <c r="B21" s="537"/>
      <c r="C21" s="692"/>
      <c r="D21" s="693"/>
    </row>
    <row r="22" spans="1:4" ht="18.75" customHeight="1">
      <c r="A22" s="694" t="s">
        <v>509</v>
      </c>
      <c r="B22" s="534" t="s">
        <v>510</v>
      </c>
      <c r="C22" s="695"/>
      <c r="D22" s="696"/>
    </row>
    <row r="23" spans="1:4" ht="15.75">
      <c r="A23" s="694"/>
      <c r="B23" s="534" t="s">
        <v>511</v>
      </c>
      <c r="C23" s="695"/>
      <c r="D23" s="696"/>
    </row>
    <row r="24" spans="1:4" ht="16.5" thickBot="1">
      <c r="A24" s="538"/>
      <c r="B24" s="538"/>
      <c r="C24" s="697"/>
      <c r="D24" s="698"/>
    </row>
    <row r="25" spans="1:4" ht="15.75">
      <c r="A25" s="525"/>
    </row>
    <row r="26" spans="1:4" ht="15.75">
      <c r="A26" s="525"/>
    </row>
    <row r="27" spans="1:4" ht="16.5">
      <c r="A27" s="710" t="s">
        <v>512</v>
      </c>
      <c r="B27" s="710"/>
      <c r="C27" s="710"/>
      <c r="D27" s="710"/>
    </row>
    <row r="28" spans="1:4" ht="64.5" customHeight="1">
      <c r="A28" s="710" t="s">
        <v>513</v>
      </c>
      <c r="B28" s="710"/>
      <c r="C28" s="710"/>
      <c r="D28" s="710"/>
    </row>
    <row r="29" spans="1:4" ht="47.25" customHeight="1">
      <c r="A29" s="710" t="s">
        <v>514</v>
      </c>
      <c r="B29" s="710"/>
      <c r="C29" s="710"/>
      <c r="D29" s="710"/>
    </row>
    <row r="30" spans="1:4" ht="66.75" customHeight="1">
      <c r="A30" s="710" t="s">
        <v>515</v>
      </c>
      <c r="B30" s="710"/>
      <c r="C30" s="710"/>
      <c r="D30" s="710"/>
    </row>
    <row r="31" spans="1:4" ht="50.25" customHeight="1">
      <c r="A31" s="710" t="s">
        <v>516</v>
      </c>
      <c r="B31" s="710"/>
      <c r="C31" s="710"/>
      <c r="D31" s="710"/>
    </row>
    <row r="32" spans="1:4" ht="65.25" customHeight="1">
      <c r="A32" s="710" t="s">
        <v>517</v>
      </c>
      <c r="B32" s="710"/>
      <c r="C32" s="710"/>
      <c r="D32" s="710"/>
    </row>
    <row r="33" spans="1:4" ht="103.5" customHeight="1">
      <c r="A33" s="710" t="s">
        <v>518</v>
      </c>
      <c r="B33" s="710"/>
      <c r="C33" s="710"/>
      <c r="D33" s="710"/>
    </row>
    <row r="34" spans="1:4" ht="53.25" customHeight="1">
      <c r="A34" s="710" t="s">
        <v>519</v>
      </c>
      <c r="B34" s="710"/>
      <c r="C34" s="710"/>
      <c r="D34" s="710"/>
    </row>
    <row r="35" spans="1:4" ht="51.75" customHeight="1">
      <c r="A35" s="710" t="s">
        <v>520</v>
      </c>
      <c r="B35" s="710"/>
      <c r="C35" s="710"/>
      <c r="D35" s="710"/>
    </row>
    <row r="36" spans="1:4" ht="35.25" customHeight="1">
      <c r="A36" s="710" t="s">
        <v>521</v>
      </c>
      <c r="B36" s="710"/>
      <c r="C36" s="710"/>
      <c r="D36" s="710"/>
    </row>
    <row r="37" spans="1:4" ht="55.5" customHeight="1">
      <c r="A37" s="710" t="s">
        <v>522</v>
      </c>
      <c r="B37" s="710"/>
      <c r="C37" s="710"/>
      <c r="D37" s="710"/>
    </row>
    <row r="38" spans="1:4" ht="48" customHeight="1">
      <c r="A38" s="710" t="s">
        <v>523</v>
      </c>
      <c r="B38" s="710"/>
      <c r="C38" s="710"/>
      <c r="D38" s="710"/>
    </row>
    <row r="39" spans="1:4" ht="53.25" customHeight="1">
      <c r="A39" s="710" t="s">
        <v>524</v>
      </c>
      <c r="B39" s="710"/>
      <c r="C39" s="710"/>
      <c r="D39" s="710"/>
    </row>
    <row r="40" spans="1:4" ht="35.25" customHeight="1">
      <c r="A40" s="710" t="s">
        <v>525</v>
      </c>
      <c r="B40" s="710"/>
      <c r="C40" s="710"/>
      <c r="D40" s="710"/>
    </row>
    <row r="41" spans="1:4" ht="16.5" customHeight="1">
      <c r="A41" s="711"/>
      <c r="B41" s="712"/>
      <c r="C41" s="712"/>
      <c r="D41" s="712"/>
    </row>
    <row r="42" spans="1:4" ht="19.5" customHeight="1">
      <c r="A42" s="710" t="s">
        <v>526</v>
      </c>
      <c r="B42" s="710"/>
      <c r="C42" s="710"/>
      <c r="D42" s="710"/>
    </row>
    <row r="43" spans="1:4" ht="32.25" customHeight="1">
      <c r="A43" s="710" t="s">
        <v>527</v>
      </c>
      <c r="B43" s="710"/>
      <c r="C43" s="710"/>
      <c r="D43" s="710"/>
    </row>
    <row r="44" spans="1:4" ht="32.25" customHeight="1">
      <c r="A44" s="710" t="s">
        <v>528</v>
      </c>
      <c r="B44" s="710"/>
      <c r="C44" s="710"/>
      <c r="D44" s="710"/>
    </row>
    <row r="45" spans="1:4" ht="33.75" customHeight="1">
      <c r="A45" s="710" t="s">
        <v>529</v>
      </c>
      <c r="B45" s="710"/>
      <c r="C45" s="710"/>
      <c r="D45" s="710"/>
    </row>
    <row r="46" spans="1:4" ht="16.5">
      <c r="A46" s="539"/>
    </row>
    <row r="47" spans="1:4" ht="16.5">
      <c r="A47" s="539"/>
    </row>
  </sheetData>
  <mergeCells count="40">
    <mergeCell ref="A43:D43"/>
    <mergeCell ref="A44:D44"/>
    <mergeCell ref="A45:D45"/>
    <mergeCell ref="A37:D37"/>
    <mergeCell ref="A38:D38"/>
    <mergeCell ref="A39:D39"/>
    <mergeCell ref="A40:D40"/>
    <mergeCell ref="A42:D42"/>
    <mergeCell ref="A32:D32"/>
    <mergeCell ref="A33:D33"/>
    <mergeCell ref="A34:D34"/>
    <mergeCell ref="A35:D35"/>
    <mergeCell ref="A36:D36"/>
    <mergeCell ref="A27:D27"/>
    <mergeCell ref="A28:D28"/>
    <mergeCell ref="A29:D29"/>
    <mergeCell ref="A30:D30"/>
    <mergeCell ref="A31:D31"/>
    <mergeCell ref="C14:D14"/>
    <mergeCell ref="B1:C1"/>
    <mergeCell ref="A3:C3"/>
    <mergeCell ref="A4:C4"/>
    <mergeCell ref="A5:C5"/>
    <mergeCell ref="C7:D7"/>
    <mergeCell ref="C8:D8"/>
    <mergeCell ref="C9:D9"/>
    <mergeCell ref="C10:D10"/>
    <mergeCell ref="C11:D11"/>
    <mergeCell ref="C12:D12"/>
    <mergeCell ref="C13:D13"/>
    <mergeCell ref="C21:D21"/>
    <mergeCell ref="A22:A23"/>
    <mergeCell ref="C22:D23"/>
    <mergeCell ref="C24:D24"/>
    <mergeCell ref="C15:D15"/>
    <mergeCell ref="C16:D16"/>
    <mergeCell ref="A17:A18"/>
    <mergeCell ref="C17:D18"/>
    <mergeCell ref="C19:D19"/>
    <mergeCell ref="C20:D20"/>
  </mergeCells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:X28"/>
  <sheetViews>
    <sheetView view="pageLayout" workbookViewId="0">
      <selection activeCell="H24" sqref="H24"/>
    </sheetView>
  </sheetViews>
  <sheetFormatPr defaultRowHeight="12.75"/>
  <cols>
    <col min="1" max="1" width="31.42578125" customWidth="1"/>
    <col min="2" max="8" width="9.42578125" bestFit="1" customWidth="1"/>
    <col min="9" max="9" width="8.7109375" customWidth="1"/>
    <col min="10" max="10" width="8" customWidth="1"/>
    <col min="11" max="11" width="8.140625" customWidth="1"/>
    <col min="12" max="12" width="11.28515625" customWidth="1"/>
    <col min="13" max="13" width="0" hidden="1" customWidth="1"/>
    <col min="14" max="14" width="33.7109375" customWidth="1"/>
    <col min="15" max="18" width="9.42578125" bestFit="1" customWidth="1"/>
    <col min="19" max="20" width="10.42578125" bestFit="1" customWidth="1"/>
    <col min="21" max="22" width="9.42578125" bestFit="1" customWidth="1"/>
    <col min="23" max="23" width="10.42578125" bestFit="1" customWidth="1"/>
    <col min="24" max="24" width="11" customWidth="1"/>
  </cols>
  <sheetData>
    <row r="1" spans="1:24">
      <c r="A1" s="445"/>
      <c r="B1" s="445"/>
      <c r="C1" s="445"/>
      <c r="D1" s="445"/>
      <c r="E1" s="445"/>
      <c r="F1" s="445"/>
      <c r="G1" s="445"/>
      <c r="H1" s="445"/>
      <c r="I1" s="672" t="s">
        <v>387</v>
      </c>
      <c r="J1" s="672"/>
      <c r="K1" s="672"/>
      <c r="L1" s="672"/>
      <c r="M1" s="446"/>
      <c r="N1" s="447"/>
      <c r="O1" s="445"/>
      <c r="P1" s="445"/>
      <c r="Q1" s="445"/>
      <c r="R1" s="445"/>
      <c r="S1" s="445"/>
      <c r="T1" s="445"/>
      <c r="U1" s="445"/>
      <c r="V1" s="445"/>
      <c r="W1" s="445"/>
      <c r="X1" s="445"/>
    </row>
    <row r="2" spans="1:24" ht="15.75">
      <c r="A2" s="674" t="s">
        <v>388</v>
      </c>
      <c r="B2" s="674"/>
      <c r="C2" s="674"/>
      <c r="D2" s="674"/>
      <c r="E2" s="674"/>
      <c r="F2" s="674"/>
      <c r="G2" s="674"/>
      <c r="H2" s="674"/>
      <c r="I2" s="674"/>
      <c r="J2" s="674"/>
      <c r="K2" s="674"/>
      <c r="L2" s="674"/>
      <c r="M2" s="448"/>
      <c r="N2" s="418"/>
      <c r="O2" s="418"/>
      <c r="P2" s="418"/>
      <c r="Q2" s="418"/>
      <c r="R2" s="418"/>
      <c r="S2" s="418"/>
      <c r="T2" s="418"/>
      <c r="U2" s="418"/>
      <c r="V2" s="418"/>
      <c r="W2" s="418"/>
      <c r="X2" s="418"/>
    </row>
    <row r="3" spans="1:24">
      <c r="A3" s="675" t="s">
        <v>389</v>
      </c>
      <c r="B3" s="675"/>
      <c r="C3" s="445"/>
      <c r="D3" s="445"/>
      <c r="E3" s="445"/>
      <c r="F3" s="445"/>
      <c r="G3" s="445"/>
      <c r="H3" s="445"/>
      <c r="I3" s="445"/>
      <c r="J3" s="445"/>
      <c r="K3" s="445"/>
      <c r="L3" s="445" t="s">
        <v>168</v>
      </c>
      <c r="M3" s="446"/>
      <c r="N3" s="675" t="s">
        <v>390</v>
      </c>
      <c r="O3" s="675"/>
      <c r="P3" s="445"/>
      <c r="Q3" s="445"/>
      <c r="R3" s="445"/>
      <c r="S3" s="445"/>
      <c r="T3" s="445"/>
      <c r="U3" s="445"/>
      <c r="V3" s="445"/>
      <c r="W3" s="445" t="s">
        <v>168</v>
      </c>
      <c r="X3" s="447"/>
    </row>
    <row r="4" spans="1:24" ht="56.25" customHeight="1">
      <c r="A4" s="449" t="s">
        <v>391</v>
      </c>
      <c r="B4" s="204" t="s">
        <v>392</v>
      </c>
      <c r="C4" s="204" t="s">
        <v>393</v>
      </c>
      <c r="D4" s="204" t="s">
        <v>394</v>
      </c>
      <c r="E4" s="204" t="s">
        <v>395</v>
      </c>
      <c r="F4" s="204" t="s">
        <v>396</v>
      </c>
      <c r="G4" s="204" t="s">
        <v>397</v>
      </c>
      <c r="H4" s="204" t="s">
        <v>398</v>
      </c>
      <c r="I4" s="204" t="s">
        <v>399</v>
      </c>
      <c r="J4" s="204" t="s">
        <v>400</v>
      </c>
      <c r="K4" s="204" t="s">
        <v>401</v>
      </c>
      <c r="L4" s="450" t="s">
        <v>402</v>
      </c>
      <c r="M4" s="451"/>
      <c r="N4" s="449" t="s">
        <v>391</v>
      </c>
      <c r="O4" s="204" t="s">
        <v>403</v>
      </c>
      <c r="P4" s="204" t="s">
        <v>404</v>
      </c>
      <c r="Q4" s="204" t="s">
        <v>405</v>
      </c>
      <c r="R4" s="204" t="s">
        <v>406</v>
      </c>
      <c r="S4" s="204" t="s">
        <v>407</v>
      </c>
      <c r="T4" s="204" t="s">
        <v>408</v>
      </c>
      <c r="U4" s="204" t="s">
        <v>409</v>
      </c>
      <c r="V4" s="204" t="s">
        <v>410</v>
      </c>
      <c r="W4" s="450" t="s">
        <v>411</v>
      </c>
      <c r="X4" s="452" t="s">
        <v>412</v>
      </c>
    </row>
    <row r="5" spans="1:24" ht="14.25" customHeight="1">
      <c r="A5" s="156" t="s">
        <v>413</v>
      </c>
      <c r="B5" s="486">
        <v>1032978.02</v>
      </c>
      <c r="C5" s="486">
        <v>655303.81000000006</v>
      </c>
      <c r="D5" s="486"/>
      <c r="E5" s="486"/>
      <c r="F5" s="486"/>
      <c r="G5" s="486"/>
      <c r="H5" s="486"/>
      <c r="I5" s="486">
        <v>8189.8</v>
      </c>
      <c r="J5" s="486"/>
      <c r="K5" s="486"/>
      <c r="L5" s="476">
        <f>SUM(B5:K5)</f>
        <v>1696471.6300000001</v>
      </c>
      <c r="M5" s="453"/>
      <c r="N5" s="156" t="s">
        <v>413</v>
      </c>
      <c r="O5" s="475"/>
      <c r="P5" s="475"/>
      <c r="Q5" s="475"/>
      <c r="R5" s="475"/>
      <c r="S5" s="475"/>
      <c r="T5" s="475"/>
      <c r="U5" s="475"/>
      <c r="V5" s="475"/>
      <c r="W5" s="476">
        <f t="shared" ref="W5:W12" si="0">SUM(O5:U5)</f>
        <v>0</v>
      </c>
      <c r="X5" s="477">
        <f t="shared" ref="X5:X25" si="1">W5+L5</f>
        <v>1696471.6300000001</v>
      </c>
    </row>
    <row r="6" spans="1:24" ht="13.5" customHeight="1">
      <c r="A6" s="156" t="s">
        <v>414</v>
      </c>
      <c r="B6" s="486"/>
      <c r="C6" s="486"/>
      <c r="D6" s="486">
        <v>62674.04</v>
      </c>
      <c r="E6" s="486">
        <v>6423.14</v>
      </c>
      <c r="F6" s="486">
        <v>3997614.32</v>
      </c>
      <c r="G6" s="486">
        <v>242235.06</v>
      </c>
      <c r="H6" s="486"/>
      <c r="I6" s="486">
        <v>18648.099999999999</v>
      </c>
      <c r="J6" s="486"/>
      <c r="K6" s="486"/>
      <c r="L6" s="476">
        <f t="shared" ref="L6:L13" si="2">SUM(B6:K6)</f>
        <v>4327594.6599999992</v>
      </c>
      <c r="M6" s="453"/>
      <c r="N6" s="156" t="s">
        <v>415</v>
      </c>
      <c r="O6" s="475"/>
      <c r="P6" s="475"/>
      <c r="Q6" s="475">
        <v>153487.73000000001</v>
      </c>
      <c r="R6" s="475"/>
      <c r="S6" s="475"/>
      <c r="T6" s="475"/>
      <c r="U6" s="475"/>
      <c r="V6" s="475"/>
      <c r="W6" s="476">
        <f t="shared" si="0"/>
        <v>153487.73000000001</v>
      </c>
      <c r="X6" s="477">
        <f t="shared" si="1"/>
        <v>4481082.3899999997</v>
      </c>
    </row>
    <row r="7" spans="1:24" ht="12" customHeight="1">
      <c r="A7" s="156" t="s">
        <v>416</v>
      </c>
      <c r="B7" s="486"/>
      <c r="C7" s="486"/>
      <c r="D7" s="486">
        <v>1170846.95</v>
      </c>
      <c r="E7" s="486"/>
      <c r="F7" s="486">
        <v>677634.03</v>
      </c>
      <c r="G7" s="486"/>
      <c r="H7" s="486"/>
      <c r="I7" s="486">
        <v>9948.2000000000007</v>
      </c>
      <c r="J7" s="486">
        <v>260427.89</v>
      </c>
      <c r="K7" s="486"/>
      <c r="L7" s="476">
        <f t="shared" si="2"/>
        <v>2118857.0699999998</v>
      </c>
      <c r="M7" s="453"/>
      <c r="N7" s="156" t="s">
        <v>417</v>
      </c>
      <c r="O7" s="475"/>
      <c r="P7" s="475"/>
      <c r="Q7" s="475">
        <v>436319.76</v>
      </c>
      <c r="R7" s="475"/>
      <c r="S7" s="475"/>
      <c r="T7" s="475"/>
      <c r="U7" s="475"/>
      <c r="V7" s="475"/>
      <c r="W7" s="476">
        <f t="shared" si="0"/>
        <v>436319.76</v>
      </c>
      <c r="X7" s="477">
        <f t="shared" si="1"/>
        <v>2555176.83</v>
      </c>
    </row>
    <row r="8" spans="1:24" ht="12.75" customHeight="1">
      <c r="A8" s="156" t="s">
        <v>418</v>
      </c>
      <c r="B8" s="486"/>
      <c r="C8" s="486"/>
      <c r="D8" s="486">
        <v>385142.69</v>
      </c>
      <c r="E8" s="486"/>
      <c r="F8" s="486">
        <v>303134.31</v>
      </c>
      <c r="G8" s="486"/>
      <c r="H8" s="486"/>
      <c r="I8" s="486">
        <v>2976.5</v>
      </c>
      <c r="J8" s="486"/>
      <c r="K8" s="486"/>
      <c r="L8" s="476">
        <f t="shared" si="2"/>
        <v>691253.5</v>
      </c>
      <c r="M8" s="453"/>
      <c r="N8" s="156" t="s">
        <v>418</v>
      </c>
      <c r="O8" s="475"/>
      <c r="P8" s="475"/>
      <c r="Q8" s="475"/>
      <c r="R8" s="475"/>
      <c r="S8" s="475"/>
      <c r="T8" s="475"/>
      <c r="U8" s="475"/>
      <c r="V8" s="475"/>
      <c r="W8" s="476">
        <f t="shared" si="0"/>
        <v>0</v>
      </c>
      <c r="X8" s="477">
        <f t="shared" si="1"/>
        <v>691253.5</v>
      </c>
    </row>
    <row r="9" spans="1:24" ht="11.25" customHeight="1">
      <c r="A9" s="156" t="s">
        <v>419</v>
      </c>
      <c r="B9" s="486"/>
      <c r="C9" s="486"/>
      <c r="D9" s="486">
        <v>2518751.62</v>
      </c>
      <c r="E9" s="486"/>
      <c r="F9" s="486"/>
      <c r="G9" s="486"/>
      <c r="H9" s="486"/>
      <c r="I9" s="486">
        <v>11841</v>
      </c>
      <c r="J9" s="486"/>
      <c r="K9" s="486"/>
      <c r="L9" s="476">
        <f t="shared" si="2"/>
        <v>2530592.62</v>
      </c>
      <c r="M9" s="453"/>
      <c r="N9" s="156" t="s">
        <v>419</v>
      </c>
      <c r="O9" s="475"/>
      <c r="P9" s="475"/>
      <c r="Q9" s="475"/>
      <c r="R9" s="475"/>
      <c r="S9" s="475"/>
      <c r="T9" s="475"/>
      <c r="U9" s="475"/>
      <c r="V9" s="475"/>
      <c r="W9" s="476">
        <f t="shared" si="0"/>
        <v>0</v>
      </c>
      <c r="X9" s="477">
        <f t="shared" si="1"/>
        <v>2530592.62</v>
      </c>
    </row>
    <row r="10" spans="1:24">
      <c r="A10" s="156" t="s">
        <v>420</v>
      </c>
      <c r="B10" s="486"/>
      <c r="C10" s="486"/>
      <c r="D10" s="486"/>
      <c r="E10" s="486"/>
      <c r="F10" s="486"/>
      <c r="G10" s="486"/>
      <c r="H10" s="486"/>
      <c r="I10" s="486"/>
      <c r="J10" s="486"/>
      <c r="K10" s="486"/>
      <c r="L10" s="476">
        <f t="shared" si="2"/>
        <v>0</v>
      </c>
      <c r="M10" s="453"/>
      <c r="N10" s="156" t="s">
        <v>420</v>
      </c>
      <c r="O10" s="475">
        <v>880265.29</v>
      </c>
      <c r="P10" s="475"/>
      <c r="Q10" s="475"/>
      <c r="R10" s="475"/>
      <c r="S10" s="475"/>
      <c r="T10" s="475"/>
      <c r="U10" s="475">
        <v>4622.3</v>
      </c>
      <c r="V10" s="475"/>
      <c r="W10" s="476">
        <f t="shared" si="0"/>
        <v>884887.59000000008</v>
      </c>
      <c r="X10" s="477">
        <f t="shared" si="1"/>
        <v>884887.59000000008</v>
      </c>
    </row>
    <row r="11" spans="1:24" ht="12.75" customHeight="1">
      <c r="A11" s="156" t="s">
        <v>421</v>
      </c>
      <c r="B11" s="486"/>
      <c r="C11" s="486"/>
      <c r="D11" s="486"/>
      <c r="E11" s="486"/>
      <c r="F11" s="486"/>
      <c r="G11" s="486"/>
      <c r="H11" s="486"/>
      <c r="I11" s="486"/>
      <c r="J11" s="486"/>
      <c r="K11" s="486"/>
      <c r="L11" s="476">
        <f t="shared" si="2"/>
        <v>0</v>
      </c>
      <c r="M11" s="453"/>
      <c r="N11" s="156" t="s">
        <v>421</v>
      </c>
      <c r="O11" s="475"/>
      <c r="P11" s="475">
        <v>447129</v>
      </c>
      <c r="Q11" s="475"/>
      <c r="R11" s="475"/>
      <c r="S11" s="475"/>
      <c r="T11" s="475"/>
      <c r="U11" s="475">
        <v>2925.7</v>
      </c>
      <c r="V11" s="475"/>
      <c r="W11" s="476">
        <f t="shared" si="0"/>
        <v>450054.7</v>
      </c>
      <c r="X11" s="477">
        <f t="shared" si="1"/>
        <v>450054.7</v>
      </c>
    </row>
    <row r="12" spans="1:24" ht="22.5">
      <c r="A12" s="156" t="s">
        <v>422</v>
      </c>
      <c r="B12" s="486"/>
      <c r="C12" s="486">
        <v>415000.98</v>
      </c>
      <c r="D12" s="486"/>
      <c r="E12" s="486"/>
      <c r="F12" s="486"/>
      <c r="G12" s="486"/>
      <c r="H12" s="486"/>
      <c r="I12" s="486"/>
      <c r="J12" s="486"/>
      <c r="K12" s="486"/>
      <c r="L12" s="476">
        <f t="shared" si="2"/>
        <v>415000.98</v>
      </c>
      <c r="M12" s="453"/>
      <c r="N12" s="156" t="s">
        <v>422</v>
      </c>
      <c r="O12" s="475"/>
      <c r="P12" s="475"/>
      <c r="Q12" s="475"/>
      <c r="R12" s="475"/>
      <c r="S12" s="475"/>
      <c r="T12" s="475">
        <v>1330340</v>
      </c>
      <c r="U12" s="475">
        <v>6939</v>
      </c>
      <c r="V12" s="475"/>
      <c r="W12" s="476">
        <f t="shared" si="0"/>
        <v>1337279</v>
      </c>
      <c r="X12" s="477">
        <f t="shared" si="1"/>
        <v>1752279.98</v>
      </c>
    </row>
    <row r="13" spans="1:24">
      <c r="A13" s="114" t="s">
        <v>423</v>
      </c>
      <c r="B13" s="486"/>
      <c r="C13" s="486">
        <v>1552228.93</v>
      </c>
      <c r="D13" s="486">
        <f>999578.48-575713.12</f>
        <v>423865.36</v>
      </c>
      <c r="E13" s="486">
        <f>297302.54-297302.54</f>
        <v>0</v>
      </c>
      <c r="F13" s="486">
        <f>2235730.64-311788.4</f>
        <v>1923942.2400000002</v>
      </c>
      <c r="G13" s="486"/>
      <c r="H13" s="486"/>
      <c r="I13" s="486">
        <v>3100</v>
      </c>
      <c r="J13" s="486"/>
      <c r="K13" s="486">
        <v>3911</v>
      </c>
      <c r="L13" s="476">
        <f t="shared" si="2"/>
        <v>3907047.5300000003</v>
      </c>
      <c r="M13" s="453"/>
      <c r="N13" s="114" t="s">
        <v>423</v>
      </c>
      <c r="O13" s="475"/>
      <c r="P13" s="475"/>
      <c r="Q13" s="475">
        <v>16044.05</v>
      </c>
      <c r="R13" s="475">
        <v>22380</v>
      </c>
      <c r="S13" s="475"/>
      <c r="T13" s="475">
        <v>49992.03</v>
      </c>
      <c r="U13" s="475">
        <v>300</v>
      </c>
      <c r="V13" s="475"/>
      <c r="W13" s="476">
        <f>SUM(O13:V13)</f>
        <v>88716.08</v>
      </c>
      <c r="X13" s="477">
        <f t="shared" si="1"/>
        <v>3995763.6100000003</v>
      </c>
    </row>
    <row r="14" spans="1:24" ht="11.25" customHeight="1">
      <c r="A14" s="454" t="s">
        <v>424</v>
      </c>
      <c r="B14" s="487">
        <f t="shared" ref="B14:L14" si="3">SUM(B5:B13)</f>
        <v>1032978.02</v>
      </c>
      <c r="C14" s="487">
        <f t="shared" si="3"/>
        <v>2622533.7199999997</v>
      </c>
      <c r="D14" s="487">
        <f t="shared" si="3"/>
        <v>4561280.66</v>
      </c>
      <c r="E14" s="487">
        <f t="shared" si="3"/>
        <v>6423.14</v>
      </c>
      <c r="F14" s="487">
        <f t="shared" si="3"/>
        <v>6902324.8999999994</v>
      </c>
      <c r="G14" s="487">
        <f>SUM(G5:G13)</f>
        <v>242235.06</v>
      </c>
      <c r="H14" s="487"/>
      <c r="I14" s="487">
        <f>SUM(I5:I13)</f>
        <v>54703.6</v>
      </c>
      <c r="J14" s="487">
        <f>SUM(J5:J13)</f>
        <v>260427.89</v>
      </c>
      <c r="K14" s="487">
        <f>SUM(K5:K13)</f>
        <v>3911</v>
      </c>
      <c r="L14" s="477">
        <f t="shared" si="3"/>
        <v>15686817.990000002</v>
      </c>
      <c r="M14" s="453"/>
      <c r="N14" s="454" t="s">
        <v>424</v>
      </c>
      <c r="O14" s="477">
        <f t="shared" ref="O14:T14" si="4">SUM(O5:O13)</f>
        <v>880265.29</v>
      </c>
      <c r="P14" s="477">
        <f t="shared" si="4"/>
        <v>447129</v>
      </c>
      <c r="Q14" s="477">
        <f t="shared" si="4"/>
        <v>605851.54</v>
      </c>
      <c r="R14" s="477">
        <f t="shared" si="4"/>
        <v>22380</v>
      </c>
      <c r="S14" s="477">
        <f t="shared" si="4"/>
        <v>0</v>
      </c>
      <c r="T14" s="477">
        <f t="shared" si="4"/>
        <v>1380332.03</v>
      </c>
      <c r="U14" s="477">
        <f>U13</f>
        <v>300</v>
      </c>
      <c r="V14" s="477">
        <f>V13</f>
        <v>0</v>
      </c>
      <c r="W14" s="477">
        <f>SUM(W5:W13)</f>
        <v>3350744.8600000003</v>
      </c>
      <c r="X14" s="477">
        <f t="shared" si="1"/>
        <v>19037562.850000001</v>
      </c>
    </row>
    <row r="15" spans="1:24" ht="22.5">
      <c r="A15" s="455" t="s">
        <v>425</v>
      </c>
      <c r="B15" s="488"/>
      <c r="C15" s="488"/>
      <c r="D15" s="488"/>
      <c r="E15" s="488">
        <v>143681.24</v>
      </c>
      <c r="F15" s="488"/>
      <c r="G15" s="488"/>
      <c r="H15" s="488"/>
      <c r="I15" s="488"/>
      <c r="J15" s="488"/>
      <c r="K15" s="488"/>
      <c r="L15" s="476">
        <f t="shared" ref="L15:L25" si="5">SUM(B15:I15)</f>
        <v>143681.24</v>
      </c>
      <c r="M15" s="453"/>
      <c r="N15" s="455" t="s">
        <v>425</v>
      </c>
      <c r="O15" s="475"/>
      <c r="P15" s="475"/>
      <c r="Q15" s="475"/>
      <c r="R15" s="475"/>
      <c r="S15" s="475"/>
      <c r="T15" s="475"/>
      <c r="U15" s="475"/>
      <c r="V15" s="475"/>
      <c r="W15" s="476">
        <f t="shared" ref="W15:W24" si="6">SUM(O15:U15)</f>
        <v>0</v>
      </c>
      <c r="X15" s="477">
        <f t="shared" si="1"/>
        <v>143681.24</v>
      </c>
    </row>
    <row r="16" spans="1:24" ht="22.5">
      <c r="A16" s="455" t="s">
        <v>426</v>
      </c>
      <c r="B16" s="488"/>
      <c r="C16" s="488"/>
      <c r="D16" s="488"/>
      <c r="E16" s="488">
        <v>153621.29999999999</v>
      </c>
      <c r="F16" s="488"/>
      <c r="G16" s="488"/>
      <c r="H16" s="488"/>
      <c r="I16" s="488"/>
      <c r="J16" s="488"/>
      <c r="K16" s="488"/>
      <c r="L16" s="476">
        <f t="shared" si="5"/>
        <v>153621.29999999999</v>
      </c>
      <c r="M16" s="453"/>
      <c r="N16" s="455" t="s">
        <v>427</v>
      </c>
      <c r="O16" s="475"/>
      <c r="P16" s="475"/>
      <c r="Q16" s="475"/>
      <c r="R16" s="475"/>
      <c r="S16" s="475"/>
      <c r="T16" s="475"/>
      <c r="U16" s="475"/>
      <c r="V16" s="475"/>
      <c r="W16" s="476">
        <f t="shared" si="6"/>
        <v>0</v>
      </c>
      <c r="X16" s="477">
        <f t="shared" si="1"/>
        <v>153621.29999999999</v>
      </c>
    </row>
    <row r="17" spans="1:24" ht="22.5">
      <c r="A17" s="455" t="s">
        <v>428</v>
      </c>
      <c r="B17" s="488"/>
      <c r="C17" s="488"/>
      <c r="D17" s="488">
        <v>0</v>
      </c>
      <c r="E17" s="488"/>
      <c r="F17" s="488"/>
      <c r="G17" s="488"/>
      <c r="H17" s="488"/>
      <c r="I17" s="488"/>
      <c r="J17" s="488"/>
      <c r="K17" s="488"/>
      <c r="L17" s="476">
        <f t="shared" si="5"/>
        <v>0</v>
      </c>
      <c r="M17" s="453"/>
      <c r="N17" s="455" t="s">
        <v>428</v>
      </c>
      <c r="O17" s="475"/>
      <c r="P17" s="475"/>
      <c r="Q17" s="475"/>
      <c r="R17" s="475"/>
      <c r="S17" s="475"/>
      <c r="T17" s="475"/>
      <c r="U17" s="475"/>
      <c r="V17" s="475"/>
      <c r="W17" s="476">
        <f t="shared" si="6"/>
        <v>0</v>
      </c>
      <c r="X17" s="477">
        <f t="shared" si="1"/>
        <v>0</v>
      </c>
    </row>
    <row r="18" spans="1:24" ht="22.5">
      <c r="A18" s="455" t="s">
        <v>429</v>
      </c>
      <c r="B18" s="488"/>
      <c r="C18" s="488"/>
      <c r="D18" s="488">
        <v>49266.2</v>
      </c>
      <c r="E18" s="488"/>
      <c r="F18" s="488"/>
      <c r="G18" s="488"/>
      <c r="H18" s="488"/>
      <c r="I18" s="488"/>
      <c r="J18" s="488"/>
      <c r="K18" s="488"/>
      <c r="L18" s="476">
        <f t="shared" si="5"/>
        <v>49266.2</v>
      </c>
      <c r="M18" s="453"/>
      <c r="N18" s="455" t="s">
        <v>430</v>
      </c>
      <c r="O18" s="475"/>
      <c r="P18" s="475"/>
      <c r="Q18" s="475"/>
      <c r="R18" s="475"/>
      <c r="S18" s="475"/>
      <c r="T18" s="475"/>
      <c r="U18" s="475"/>
      <c r="V18" s="475"/>
      <c r="W18" s="476">
        <f t="shared" si="6"/>
        <v>0</v>
      </c>
      <c r="X18" s="477">
        <f t="shared" si="1"/>
        <v>49266.2</v>
      </c>
    </row>
    <row r="19" spans="1:24" ht="22.5">
      <c r="A19" s="455" t="s">
        <v>431</v>
      </c>
      <c r="B19" s="488"/>
      <c r="C19" s="488"/>
      <c r="D19" s="488">
        <v>214448.52</v>
      </c>
      <c r="E19" s="488"/>
      <c r="F19" s="488"/>
      <c r="G19" s="488"/>
      <c r="H19" s="488"/>
      <c r="I19" s="488"/>
      <c r="J19" s="488"/>
      <c r="K19" s="488"/>
      <c r="L19" s="476">
        <f t="shared" si="5"/>
        <v>214448.52</v>
      </c>
      <c r="M19" s="453"/>
      <c r="N19" s="455" t="s">
        <v>431</v>
      </c>
      <c r="O19" s="475"/>
      <c r="P19" s="475"/>
      <c r="Q19" s="475"/>
      <c r="R19" s="475"/>
      <c r="S19" s="475"/>
      <c r="T19" s="475"/>
      <c r="U19" s="475"/>
      <c r="V19" s="475"/>
      <c r="W19" s="476"/>
      <c r="X19" s="477">
        <f t="shared" si="1"/>
        <v>214448.52</v>
      </c>
    </row>
    <row r="20" spans="1:24">
      <c r="A20" s="455" t="s">
        <v>432</v>
      </c>
      <c r="B20" s="488"/>
      <c r="C20" s="488"/>
      <c r="D20" s="488"/>
      <c r="E20" s="488"/>
      <c r="F20" s="488">
        <v>127416.1</v>
      </c>
      <c r="G20" s="488"/>
      <c r="H20" s="488"/>
      <c r="I20" s="488"/>
      <c r="J20" s="488"/>
      <c r="K20" s="488"/>
      <c r="L20" s="476">
        <f t="shared" si="5"/>
        <v>127416.1</v>
      </c>
      <c r="M20" s="453"/>
      <c r="N20" s="455" t="s">
        <v>432</v>
      </c>
      <c r="O20" s="475"/>
      <c r="P20" s="475"/>
      <c r="Q20" s="475"/>
      <c r="R20" s="475"/>
      <c r="S20" s="475"/>
      <c r="T20" s="475"/>
      <c r="U20" s="475"/>
      <c r="V20" s="475"/>
      <c r="W20" s="476">
        <f t="shared" si="6"/>
        <v>0</v>
      </c>
      <c r="X20" s="477">
        <f t="shared" si="1"/>
        <v>127416.1</v>
      </c>
    </row>
    <row r="21" spans="1:24">
      <c r="A21" s="455" t="s">
        <v>167</v>
      </c>
      <c r="B21" s="488"/>
      <c r="C21" s="488"/>
      <c r="D21" s="488"/>
      <c r="E21" s="488"/>
      <c r="F21" s="488">
        <v>184372.3</v>
      </c>
      <c r="G21" s="488"/>
      <c r="H21" s="488"/>
      <c r="I21" s="488"/>
      <c r="J21" s="488"/>
      <c r="K21" s="488"/>
      <c r="L21" s="476">
        <f t="shared" si="5"/>
        <v>184372.3</v>
      </c>
      <c r="M21" s="453"/>
      <c r="N21" s="455" t="s">
        <v>167</v>
      </c>
      <c r="O21" s="475"/>
      <c r="P21" s="475"/>
      <c r="Q21" s="475"/>
      <c r="R21" s="475"/>
      <c r="S21" s="475"/>
      <c r="T21" s="475"/>
      <c r="U21" s="475"/>
      <c r="V21" s="475"/>
      <c r="W21" s="476">
        <f t="shared" si="6"/>
        <v>0</v>
      </c>
      <c r="X21" s="477">
        <f t="shared" si="1"/>
        <v>184372.3</v>
      </c>
    </row>
    <row r="22" spans="1:24" ht="22.5">
      <c r="A22" s="455" t="s">
        <v>310</v>
      </c>
      <c r="B22" s="488"/>
      <c r="C22" s="488"/>
      <c r="D22" s="488">
        <v>195938</v>
      </c>
      <c r="E22" s="488"/>
      <c r="F22" s="488"/>
      <c r="G22" s="488"/>
      <c r="H22" s="488"/>
      <c r="I22" s="488"/>
      <c r="J22" s="488"/>
      <c r="K22" s="488"/>
      <c r="L22" s="476">
        <f t="shared" si="5"/>
        <v>195938</v>
      </c>
      <c r="M22" s="453"/>
      <c r="N22" s="455" t="s">
        <v>310</v>
      </c>
      <c r="O22" s="475"/>
      <c r="P22" s="475"/>
      <c r="Q22" s="475"/>
      <c r="R22" s="475"/>
      <c r="S22" s="475"/>
      <c r="T22" s="475"/>
      <c r="U22" s="475"/>
      <c r="V22" s="475"/>
      <c r="W22" s="476">
        <f t="shared" si="6"/>
        <v>0</v>
      </c>
      <c r="X22" s="477">
        <f t="shared" si="1"/>
        <v>195938</v>
      </c>
    </row>
    <row r="23" spans="1:24" ht="22.5">
      <c r="A23" s="455" t="s">
        <v>311</v>
      </c>
      <c r="B23" s="488"/>
      <c r="C23" s="488"/>
      <c r="D23" s="488">
        <v>116060.4</v>
      </c>
      <c r="E23" s="488"/>
      <c r="F23" s="488"/>
      <c r="G23" s="488"/>
      <c r="H23" s="488"/>
      <c r="I23" s="488"/>
      <c r="J23" s="488"/>
      <c r="K23" s="488"/>
      <c r="L23" s="476">
        <f t="shared" si="5"/>
        <v>116060.4</v>
      </c>
      <c r="M23" s="453"/>
      <c r="N23" s="455" t="s">
        <v>311</v>
      </c>
      <c r="O23" s="475"/>
      <c r="P23" s="475"/>
      <c r="Q23" s="475"/>
      <c r="R23" s="475"/>
      <c r="S23" s="475"/>
      <c r="T23" s="475"/>
      <c r="U23" s="475"/>
      <c r="V23" s="475"/>
      <c r="W23" s="476"/>
      <c r="X23" s="477">
        <f t="shared" si="1"/>
        <v>116060.4</v>
      </c>
    </row>
    <row r="24" spans="1:24" ht="23.25" customHeight="1">
      <c r="A24" s="456" t="s">
        <v>433</v>
      </c>
      <c r="B24" s="488"/>
      <c r="C24" s="488"/>
      <c r="D24" s="488"/>
      <c r="E24" s="488"/>
      <c r="F24" s="488"/>
      <c r="G24" s="488"/>
      <c r="H24" s="488"/>
      <c r="I24" s="488"/>
      <c r="J24" s="488"/>
      <c r="K24" s="488"/>
      <c r="L24" s="489">
        <f t="shared" si="5"/>
        <v>0</v>
      </c>
      <c r="M24" s="457"/>
      <c r="N24" s="456" t="s">
        <v>433</v>
      </c>
      <c r="O24" s="478">
        <v>0</v>
      </c>
      <c r="P24" s="478">
        <v>0</v>
      </c>
      <c r="Q24" s="478">
        <v>0</v>
      </c>
      <c r="R24" s="478"/>
      <c r="S24" s="478">
        <v>1148813.77</v>
      </c>
      <c r="T24" s="478">
        <v>0</v>
      </c>
      <c r="U24" s="478"/>
      <c r="V24" s="478"/>
      <c r="W24" s="479">
        <f t="shared" si="6"/>
        <v>1148813.77</v>
      </c>
      <c r="X24" s="480">
        <f t="shared" si="1"/>
        <v>1148813.77</v>
      </c>
    </row>
    <row r="25" spans="1:24" ht="23.25" customHeight="1">
      <c r="A25" s="458" t="s">
        <v>241</v>
      </c>
      <c r="B25" s="490"/>
      <c r="C25" s="490"/>
      <c r="D25" s="490"/>
      <c r="E25" s="490"/>
      <c r="F25" s="490"/>
      <c r="G25" s="490"/>
      <c r="H25" s="490">
        <v>220860.32</v>
      </c>
      <c r="I25" s="490"/>
      <c r="J25" s="490"/>
      <c r="K25" s="490"/>
      <c r="L25" s="476">
        <f t="shared" si="5"/>
        <v>220860.32</v>
      </c>
      <c r="M25" s="457"/>
      <c r="N25" s="458" t="s">
        <v>241</v>
      </c>
      <c r="O25" s="481"/>
      <c r="P25" s="481"/>
      <c r="Q25" s="481"/>
      <c r="R25" s="481"/>
      <c r="S25" s="481"/>
      <c r="T25" s="481"/>
      <c r="U25" s="481"/>
      <c r="V25" s="481"/>
      <c r="W25" s="482"/>
      <c r="X25" s="480">
        <f t="shared" si="1"/>
        <v>220860.32</v>
      </c>
    </row>
    <row r="26" spans="1:24" ht="22.5" thickBot="1">
      <c r="A26" s="459" t="s">
        <v>434</v>
      </c>
      <c r="B26" s="491">
        <f>SUM(B15:B24)</f>
        <v>0</v>
      </c>
      <c r="C26" s="491">
        <f t="shared" ref="C26:I26" si="7">SUM(C15:C24)</f>
        <v>0</v>
      </c>
      <c r="D26" s="491">
        <f t="shared" si="7"/>
        <v>575713.12</v>
      </c>
      <c r="E26" s="491">
        <f t="shared" si="7"/>
        <v>297302.53999999998</v>
      </c>
      <c r="F26" s="491">
        <f t="shared" si="7"/>
        <v>311788.40000000002</v>
      </c>
      <c r="G26" s="491"/>
      <c r="H26" s="491">
        <f>H25</f>
        <v>220860.32</v>
      </c>
      <c r="I26" s="491">
        <f t="shared" si="7"/>
        <v>0</v>
      </c>
      <c r="J26" s="491"/>
      <c r="K26" s="491"/>
      <c r="L26" s="483">
        <f>SUM(L15:L25)</f>
        <v>1405664.38</v>
      </c>
      <c r="M26" s="453"/>
      <c r="N26" s="454" t="s">
        <v>434</v>
      </c>
      <c r="O26" s="483">
        <f>SUM(O15:O24)</f>
        <v>0</v>
      </c>
      <c r="P26" s="483">
        <f t="shared" ref="P26:W26" si="8">SUM(P15:P24)</f>
        <v>0</v>
      </c>
      <c r="Q26" s="483">
        <f t="shared" si="8"/>
        <v>0</v>
      </c>
      <c r="R26" s="483">
        <f>SUM(R15:R24)</f>
        <v>0</v>
      </c>
      <c r="S26" s="483">
        <f t="shared" si="8"/>
        <v>1148813.77</v>
      </c>
      <c r="T26" s="483">
        <f t="shared" si="8"/>
        <v>0</v>
      </c>
      <c r="U26" s="483">
        <f t="shared" si="8"/>
        <v>0</v>
      </c>
      <c r="V26" s="483"/>
      <c r="W26" s="483">
        <f t="shared" si="8"/>
        <v>1148813.77</v>
      </c>
      <c r="X26" s="483">
        <f>SUM(X15:X25)</f>
        <v>2554478.15</v>
      </c>
    </row>
    <row r="27" spans="1:24" ht="13.5" thickBot="1">
      <c r="A27" s="460" t="s">
        <v>435</v>
      </c>
      <c r="B27" s="492">
        <f t="shared" ref="B27:L27" si="9">B14+B26</f>
        <v>1032978.02</v>
      </c>
      <c r="C27" s="492">
        <f t="shared" si="9"/>
        <v>2622533.7199999997</v>
      </c>
      <c r="D27" s="492">
        <f t="shared" si="9"/>
        <v>5136993.78</v>
      </c>
      <c r="E27" s="492">
        <f t="shared" si="9"/>
        <v>303725.68</v>
      </c>
      <c r="F27" s="492">
        <f t="shared" si="9"/>
        <v>7214113.2999999998</v>
      </c>
      <c r="G27" s="492">
        <f t="shared" si="9"/>
        <v>242235.06</v>
      </c>
      <c r="H27" s="492">
        <f>H26</f>
        <v>220860.32</v>
      </c>
      <c r="I27" s="492">
        <f t="shared" si="9"/>
        <v>54703.6</v>
      </c>
      <c r="J27" s="492">
        <f t="shared" si="9"/>
        <v>260427.89</v>
      </c>
      <c r="K27" s="492">
        <f t="shared" si="9"/>
        <v>3911</v>
      </c>
      <c r="L27" s="484">
        <f t="shared" si="9"/>
        <v>17092482.370000001</v>
      </c>
      <c r="M27" s="461"/>
      <c r="N27" s="454" t="s">
        <v>435</v>
      </c>
      <c r="O27" s="484">
        <f t="shared" ref="O27:X27" si="10">O14+O26</f>
        <v>880265.29</v>
      </c>
      <c r="P27" s="484">
        <f t="shared" si="10"/>
        <v>447129</v>
      </c>
      <c r="Q27" s="484">
        <f t="shared" si="10"/>
        <v>605851.54</v>
      </c>
      <c r="R27" s="484">
        <f>R14+R26</f>
        <v>22380</v>
      </c>
      <c r="S27" s="484">
        <f t="shared" si="10"/>
        <v>1148813.77</v>
      </c>
      <c r="T27" s="484">
        <f t="shared" si="10"/>
        <v>1380332.03</v>
      </c>
      <c r="U27" s="484">
        <f t="shared" si="10"/>
        <v>300</v>
      </c>
      <c r="V27" s="484">
        <f t="shared" si="10"/>
        <v>0</v>
      </c>
      <c r="W27" s="484">
        <f t="shared" si="10"/>
        <v>4499558.6300000008</v>
      </c>
      <c r="X27" s="485">
        <f t="shared" si="10"/>
        <v>21592041</v>
      </c>
    </row>
    <row r="28" spans="1:24">
      <c r="A28" s="445"/>
      <c r="B28" s="108"/>
      <c r="C28" s="108"/>
      <c r="D28" s="108"/>
      <c r="E28" s="108"/>
      <c r="F28" s="108"/>
      <c r="G28" s="108"/>
      <c r="H28" s="108"/>
      <c r="I28" s="108"/>
      <c r="J28" s="108"/>
      <c r="K28" s="108"/>
      <c r="L28" s="447"/>
      <c r="M28" s="446"/>
      <c r="N28" s="447"/>
      <c r="O28" s="445"/>
      <c r="P28" s="445"/>
      <c r="Q28" s="445"/>
      <c r="R28" s="445"/>
      <c r="S28" s="445"/>
      <c r="T28" s="445"/>
      <c r="U28" s="445"/>
      <c r="V28" s="445"/>
      <c r="W28" s="447"/>
      <c r="X28" s="447"/>
    </row>
  </sheetData>
  <mergeCells count="4">
    <mergeCell ref="I1:L1"/>
    <mergeCell ref="A2:L2"/>
    <mergeCell ref="A3:B3"/>
    <mergeCell ref="N3:O3"/>
  </mergeCells>
  <pageMargins left="0.7" right="0.7" top="0.75" bottom="0.75" header="0.3" footer="0.3"/>
  <pageSetup paperSize="9" orientation="landscape" r:id="rId1"/>
  <headerFooter>
    <oddFooter>&amp;CTabela Nr 15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>
  <dimension ref="A1:I27"/>
  <sheetViews>
    <sheetView view="pageLayout" workbookViewId="0">
      <selection activeCell="D12" sqref="D12"/>
    </sheetView>
  </sheetViews>
  <sheetFormatPr defaultRowHeight="12.75"/>
  <cols>
    <col min="1" max="1" width="4.7109375" customWidth="1"/>
    <col min="2" max="2" width="6.28515625" customWidth="1"/>
    <col min="3" max="3" width="7.140625" customWidth="1"/>
    <col min="4" max="4" width="50.140625" customWidth="1"/>
    <col min="5" max="5" width="10.85546875" customWidth="1"/>
    <col min="7" max="7" width="13.5703125" customWidth="1"/>
    <col min="8" max="8" width="12.85546875" customWidth="1"/>
    <col min="9" max="9" width="13.85546875" customWidth="1"/>
  </cols>
  <sheetData>
    <row r="1" spans="1:9" ht="12" customHeight="1">
      <c r="A1" s="462"/>
      <c r="B1" s="463"/>
      <c r="C1" s="463"/>
      <c r="D1" s="462"/>
      <c r="E1" s="462"/>
      <c r="F1" s="462"/>
      <c r="G1" s="462"/>
      <c r="H1" s="682" t="s">
        <v>481</v>
      </c>
      <c r="I1" s="682"/>
    </row>
    <row r="2" spans="1:9" ht="46.5" customHeight="1">
      <c r="A2" s="681" t="s">
        <v>482</v>
      </c>
      <c r="B2" s="681"/>
      <c r="C2" s="681"/>
      <c r="D2" s="681"/>
      <c r="E2" s="681"/>
      <c r="F2" s="681"/>
      <c r="G2" s="681"/>
      <c r="H2" s="681"/>
      <c r="I2" s="681"/>
    </row>
    <row r="3" spans="1:9" ht="13.5" customHeight="1">
      <c r="A3" s="464"/>
      <c r="B3" s="464"/>
      <c r="C3" s="464"/>
      <c r="D3" s="464"/>
      <c r="E3" s="464"/>
      <c r="F3" s="464"/>
      <c r="G3" s="464"/>
      <c r="H3" s="465"/>
      <c r="I3" s="509" t="s">
        <v>168</v>
      </c>
    </row>
    <row r="4" spans="1:9" ht="57" customHeight="1">
      <c r="A4" s="683" t="s">
        <v>192</v>
      </c>
      <c r="B4" s="683" t="s">
        <v>0</v>
      </c>
      <c r="C4" s="683" t="s">
        <v>62</v>
      </c>
      <c r="D4" s="679" t="s">
        <v>436</v>
      </c>
      <c r="E4" s="679" t="s">
        <v>437</v>
      </c>
      <c r="F4" s="679" t="s">
        <v>438</v>
      </c>
      <c r="G4" s="679" t="s">
        <v>439</v>
      </c>
      <c r="H4" s="679" t="s">
        <v>440</v>
      </c>
      <c r="I4" s="679" t="s">
        <v>478</v>
      </c>
    </row>
    <row r="5" spans="1:9" ht="19.5" customHeight="1">
      <c r="A5" s="684"/>
      <c r="B5" s="684"/>
      <c r="C5" s="684"/>
      <c r="D5" s="680"/>
      <c r="E5" s="680"/>
      <c r="F5" s="680"/>
      <c r="G5" s="680"/>
      <c r="H5" s="680"/>
      <c r="I5" s="680"/>
    </row>
    <row r="6" spans="1:9" s="107" customFormat="1" ht="10.5">
      <c r="A6" s="124">
        <v>1</v>
      </c>
      <c r="B6" s="124">
        <v>2</v>
      </c>
      <c r="C6" s="124">
        <v>3</v>
      </c>
      <c r="D6" s="124">
        <v>4</v>
      </c>
      <c r="E6" s="124">
        <v>5</v>
      </c>
      <c r="F6" s="124">
        <v>6</v>
      </c>
      <c r="G6" s="124">
        <v>7</v>
      </c>
      <c r="H6" s="124">
        <v>8</v>
      </c>
      <c r="I6" s="124">
        <v>9</v>
      </c>
    </row>
    <row r="7" spans="1:9" ht="24">
      <c r="A7" s="466">
        <v>1</v>
      </c>
      <c r="B7" s="466">
        <v>600</v>
      </c>
      <c r="C7" s="466">
        <v>60014</v>
      </c>
      <c r="D7" s="467" t="s">
        <v>441</v>
      </c>
      <c r="E7" s="514" t="s">
        <v>423</v>
      </c>
      <c r="F7" s="468" t="s">
        <v>442</v>
      </c>
      <c r="G7" s="510">
        <v>1916574.78</v>
      </c>
      <c r="H7" s="510">
        <v>1884839.23</v>
      </c>
      <c r="I7" s="510">
        <f>H7</f>
        <v>1884839.23</v>
      </c>
    </row>
    <row r="8" spans="1:9" ht="24">
      <c r="A8" s="466">
        <v>2</v>
      </c>
      <c r="B8" s="466">
        <v>600</v>
      </c>
      <c r="C8" s="466">
        <v>60014</v>
      </c>
      <c r="D8" s="467" t="s">
        <v>443</v>
      </c>
      <c r="E8" s="514" t="s">
        <v>444</v>
      </c>
      <c r="F8" s="468" t="s">
        <v>442</v>
      </c>
      <c r="G8" s="510">
        <v>911219</v>
      </c>
      <c r="H8" s="510">
        <v>886819</v>
      </c>
      <c r="I8" s="510">
        <v>886818.44</v>
      </c>
    </row>
    <row r="9" spans="1:9" ht="24">
      <c r="A9" s="466">
        <v>3</v>
      </c>
      <c r="B9" s="466">
        <v>600</v>
      </c>
      <c r="C9" s="466">
        <v>60014</v>
      </c>
      <c r="D9" s="467" t="s">
        <v>458</v>
      </c>
      <c r="E9" s="514" t="s">
        <v>423</v>
      </c>
      <c r="F9" s="468" t="s">
        <v>457</v>
      </c>
      <c r="G9" s="510">
        <v>2083391</v>
      </c>
      <c r="H9" s="510">
        <v>2100000</v>
      </c>
      <c r="I9" s="510">
        <v>2037042.02</v>
      </c>
    </row>
    <row r="10" spans="1:9" ht="24">
      <c r="A10" s="466">
        <v>4</v>
      </c>
      <c r="B10" s="466">
        <v>750</v>
      </c>
      <c r="C10" s="466">
        <v>75020</v>
      </c>
      <c r="D10" s="467" t="s">
        <v>459</v>
      </c>
      <c r="E10" s="514" t="s">
        <v>423</v>
      </c>
      <c r="F10" s="468" t="s">
        <v>456</v>
      </c>
      <c r="G10" s="510">
        <v>3025980</v>
      </c>
      <c r="H10" s="510">
        <v>3003180</v>
      </c>
      <c r="I10" s="510">
        <v>2894257.59</v>
      </c>
    </row>
    <row r="11" spans="1:9" ht="21">
      <c r="A11" s="466">
        <v>5</v>
      </c>
      <c r="B11" s="466">
        <v>801</v>
      </c>
      <c r="C11" s="466">
        <v>80111</v>
      </c>
      <c r="D11" s="467" t="s">
        <v>445</v>
      </c>
      <c r="E11" s="514" t="s">
        <v>423</v>
      </c>
      <c r="F11" s="468" t="s">
        <v>446</v>
      </c>
      <c r="G11" s="511">
        <f>934047.56+271500.94</f>
        <v>1205548.5</v>
      </c>
      <c r="H11" s="511">
        <v>919544</v>
      </c>
      <c r="I11" s="511">
        <v>893299.56</v>
      </c>
    </row>
    <row r="12" spans="1:9" ht="17.25" customHeight="1">
      <c r="A12" s="466">
        <v>6</v>
      </c>
      <c r="B12" s="466">
        <v>801</v>
      </c>
      <c r="C12" s="466">
        <v>80111</v>
      </c>
      <c r="D12" s="467" t="s">
        <v>452</v>
      </c>
      <c r="E12" s="514" t="s">
        <v>423</v>
      </c>
      <c r="F12" s="468" t="s">
        <v>449</v>
      </c>
      <c r="G12" s="511">
        <v>670673.80000000005</v>
      </c>
      <c r="H12" s="511">
        <v>683454.39999999991</v>
      </c>
      <c r="I12" s="511">
        <v>650474.81999999995</v>
      </c>
    </row>
    <row r="13" spans="1:9" ht="19.5" customHeight="1">
      <c r="A13" s="466">
        <v>7</v>
      </c>
      <c r="B13" s="466">
        <v>801</v>
      </c>
      <c r="C13" s="466">
        <v>80120</v>
      </c>
      <c r="D13" s="467" t="s">
        <v>453</v>
      </c>
      <c r="E13" s="514" t="s">
        <v>423</v>
      </c>
      <c r="F13" s="468" t="s">
        <v>446</v>
      </c>
      <c r="G13" s="511">
        <v>565570</v>
      </c>
      <c r="H13" s="511">
        <v>548477.28999999992</v>
      </c>
      <c r="I13" s="511">
        <v>415387.92</v>
      </c>
    </row>
    <row r="14" spans="1:9" ht="18.75" customHeight="1">
      <c r="A14" s="466">
        <v>8</v>
      </c>
      <c r="B14" s="466">
        <v>801</v>
      </c>
      <c r="C14" s="466">
        <v>80130</v>
      </c>
      <c r="D14" s="467" t="s">
        <v>448</v>
      </c>
      <c r="E14" s="514" t="s">
        <v>423</v>
      </c>
      <c r="F14" s="468" t="s">
        <v>446</v>
      </c>
      <c r="G14" s="511">
        <v>962456</v>
      </c>
      <c r="H14" s="511">
        <v>952298.33000000019</v>
      </c>
      <c r="I14" s="511">
        <v>688459.74</v>
      </c>
    </row>
    <row r="15" spans="1:9" ht="21">
      <c r="A15" s="466">
        <v>9</v>
      </c>
      <c r="B15" s="466">
        <v>801</v>
      </c>
      <c r="C15" s="466">
        <v>80130</v>
      </c>
      <c r="D15" s="467" t="s">
        <v>451</v>
      </c>
      <c r="E15" s="514" t="s">
        <v>423</v>
      </c>
      <c r="F15" s="468" t="s">
        <v>446</v>
      </c>
      <c r="G15" s="511">
        <v>1244824</v>
      </c>
      <c r="H15" s="511">
        <v>1230640.6300000001</v>
      </c>
      <c r="I15" s="511">
        <v>991506.03</v>
      </c>
    </row>
    <row r="16" spans="1:9" ht="19.5" customHeight="1">
      <c r="A16" s="466">
        <v>10</v>
      </c>
      <c r="B16" s="466">
        <v>801</v>
      </c>
      <c r="C16" s="466">
        <v>80130</v>
      </c>
      <c r="D16" s="467" t="s">
        <v>479</v>
      </c>
      <c r="E16" s="514" t="s">
        <v>423</v>
      </c>
      <c r="F16" s="468" t="s">
        <v>457</v>
      </c>
      <c r="G16" s="511">
        <v>226124.34</v>
      </c>
      <c r="H16" s="511">
        <v>223928.34</v>
      </c>
      <c r="I16" s="511">
        <v>223928.34</v>
      </c>
    </row>
    <row r="17" spans="1:9" ht="36">
      <c r="A17" s="466">
        <v>11</v>
      </c>
      <c r="B17" s="466">
        <v>851</v>
      </c>
      <c r="C17" s="466">
        <v>85111</v>
      </c>
      <c r="D17" s="467" t="s">
        <v>480</v>
      </c>
      <c r="E17" s="515" t="s">
        <v>423</v>
      </c>
      <c r="F17" s="468" t="s">
        <v>456</v>
      </c>
      <c r="G17" s="510">
        <v>2898190</v>
      </c>
      <c r="H17" s="510">
        <v>54828.32</v>
      </c>
      <c r="I17" s="510">
        <v>54828</v>
      </c>
    </row>
    <row r="18" spans="1:9" ht="36">
      <c r="A18" s="466">
        <v>12</v>
      </c>
      <c r="B18" s="466">
        <v>851</v>
      </c>
      <c r="C18" s="466">
        <v>85111</v>
      </c>
      <c r="D18" s="467" t="s">
        <v>454</v>
      </c>
      <c r="E18" s="514" t="s">
        <v>423</v>
      </c>
      <c r="F18" s="468" t="s">
        <v>455</v>
      </c>
      <c r="G18" s="510">
        <v>119703140</v>
      </c>
      <c r="H18" s="512">
        <v>555100</v>
      </c>
      <c r="I18" s="510">
        <v>266356</v>
      </c>
    </row>
    <row r="19" spans="1:9" ht="21">
      <c r="A19" s="466">
        <v>13</v>
      </c>
      <c r="B19" s="466">
        <v>853</v>
      </c>
      <c r="C19" s="466">
        <v>85333</v>
      </c>
      <c r="D19" s="467" t="s">
        <v>447</v>
      </c>
      <c r="E19" s="514" t="s">
        <v>423</v>
      </c>
      <c r="F19" s="468" t="s">
        <v>449</v>
      </c>
      <c r="G19" s="510">
        <v>394601.11</v>
      </c>
      <c r="H19" s="512">
        <v>395000</v>
      </c>
      <c r="I19" s="510">
        <v>377015.63</v>
      </c>
    </row>
    <row r="20" spans="1:9" ht="21">
      <c r="A20" s="466">
        <v>14</v>
      </c>
      <c r="B20" s="466">
        <v>854</v>
      </c>
      <c r="C20" s="466">
        <v>85410</v>
      </c>
      <c r="D20" s="467" t="s">
        <v>450</v>
      </c>
      <c r="E20" s="514" t="s">
        <v>423</v>
      </c>
      <c r="F20" s="468" t="s">
        <v>446</v>
      </c>
      <c r="G20" s="510">
        <v>1389197</v>
      </c>
      <c r="H20" s="512">
        <v>16044.05</v>
      </c>
      <c r="I20" s="510">
        <v>16044.05</v>
      </c>
    </row>
    <row r="21" spans="1:9">
      <c r="A21" s="676"/>
      <c r="B21" s="677"/>
      <c r="C21" s="677"/>
      <c r="D21" s="677"/>
      <c r="E21" s="677"/>
      <c r="F21" s="678"/>
      <c r="G21" s="513">
        <v>132025296.02</v>
      </c>
      <c r="H21" s="516">
        <v>13454153.910000002</v>
      </c>
      <c r="I21" s="516">
        <v>12280258.680000002</v>
      </c>
    </row>
    <row r="22" spans="1:9" ht="57" customHeight="1"/>
    <row r="23" spans="1:9" ht="57" customHeight="1"/>
    <row r="24" spans="1:9" ht="57" customHeight="1"/>
    <row r="25" spans="1:9" ht="57" customHeight="1"/>
    <row r="26" spans="1:9" ht="57" customHeight="1"/>
    <row r="27" spans="1:9" ht="57" customHeight="1"/>
  </sheetData>
  <mergeCells count="12">
    <mergeCell ref="A21:F21"/>
    <mergeCell ref="H4:H5"/>
    <mergeCell ref="I4:I5"/>
    <mergeCell ref="A2:I2"/>
    <mergeCell ref="H1:I1"/>
    <mergeCell ref="A4:A5"/>
    <mergeCell ref="B4:B5"/>
    <mergeCell ref="C4:C5"/>
    <mergeCell ref="D4:D5"/>
    <mergeCell ref="E4:E5"/>
    <mergeCell ref="F4:F5"/>
    <mergeCell ref="G4:G5"/>
  </mergeCells>
  <pageMargins left="0.7" right="0.7" top="0.75" bottom="0.75" header="0.3" footer="0.3"/>
  <pageSetup paperSize="9" orientation="landscape" r:id="rId1"/>
  <headerFooter>
    <oddFooter>&amp;CZałącznik nr 1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>
  <dimension ref="A1:K19"/>
  <sheetViews>
    <sheetView view="pageLayout" topLeftCell="A4" workbookViewId="0">
      <selection activeCell="I15" sqref="I15:I17"/>
    </sheetView>
  </sheetViews>
  <sheetFormatPr defaultRowHeight="12.75"/>
  <cols>
    <col min="1" max="1" width="3.7109375" customWidth="1"/>
    <col min="2" max="2" width="5.140625" customWidth="1"/>
    <col min="3" max="3" width="6.28515625" customWidth="1"/>
    <col min="4" max="4" width="27.28515625" customWidth="1"/>
    <col min="5" max="5" width="34.28515625" customWidth="1"/>
    <col min="6" max="6" width="10.28515625" customWidth="1"/>
    <col min="8" max="10" width="10" bestFit="1" customWidth="1"/>
    <col min="11" max="11" width="5.28515625" customWidth="1"/>
  </cols>
  <sheetData>
    <row r="1" spans="1:11">
      <c r="A1" s="276"/>
      <c r="B1" s="276"/>
      <c r="C1" s="276"/>
      <c r="D1" s="276"/>
      <c r="E1" s="276"/>
      <c r="F1" s="276"/>
      <c r="G1" s="276"/>
      <c r="H1" s="276"/>
      <c r="I1" s="469"/>
      <c r="J1" s="685" t="s">
        <v>460</v>
      </c>
      <c r="K1" s="685"/>
    </row>
    <row r="2" spans="1:11">
      <c r="A2" s="686" t="s">
        <v>461</v>
      </c>
      <c r="B2" s="686"/>
      <c r="C2" s="686"/>
      <c r="D2" s="686"/>
      <c r="E2" s="686"/>
      <c r="F2" s="686"/>
      <c r="G2" s="686"/>
      <c r="H2" s="686"/>
      <c r="I2" s="686"/>
      <c r="J2" s="686"/>
      <c r="K2" s="686"/>
    </row>
    <row r="3" spans="1:11">
      <c r="A3" s="686"/>
      <c r="B3" s="686"/>
      <c r="C3" s="686"/>
      <c r="D3" s="686"/>
      <c r="E3" s="686"/>
      <c r="F3" s="686"/>
      <c r="G3" s="686"/>
      <c r="H3" s="686"/>
      <c r="I3" s="686"/>
      <c r="J3" s="686"/>
      <c r="K3" s="686"/>
    </row>
    <row r="4" spans="1:11" ht="38.25" customHeight="1">
      <c r="A4" s="686"/>
      <c r="B4" s="686"/>
      <c r="C4" s="686"/>
      <c r="D4" s="686"/>
      <c r="E4" s="686"/>
      <c r="F4" s="686"/>
      <c r="G4" s="686"/>
      <c r="H4" s="686"/>
      <c r="I4" s="686"/>
      <c r="J4" s="686"/>
      <c r="K4" s="686"/>
    </row>
    <row r="5" spans="1:11" ht="15" customHeight="1">
      <c r="A5" s="687" t="s">
        <v>491</v>
      </c>
      <c r="B5" s="687"/>
      <c r="C5" s="687"/>
      <c r="D5" s="687"/>
      <c r="E5" s="687"/>
      <c r="F5" s="687"/>
      <c r="G5" s="687"/>
      <c r="H5" s="687"/>
      <c r="I5" s="687"/>
      <c r="J5" s="687"/>
      <c r="K5" s="687"/>
    </row>
    <row r="6" spans="1:11">
      <c r="A6" s="276"/>
      <c r="B6" s="276"/>
      <c r="C6" s="276"/>
      <c r="D6" s="276"/>
      <c r="E6" s="276"/>
      <c r="F6" s="276"/>
      <c r="G6" s="276"/>
      <c r="H6" s="276"/>
      <c r="I6" s="276"/>
      <c r="J6" s="276"/>
      <c r="K6" s="276"/>
    </row>
    <row r="7" spans="1:11" ht="12.75" customHeight="1">
      <c r="A7" s="688" t="s">
        <v>192</v>
      </c>
      <c r="B7" s="589" t="s">
        <v>0</v>
      </c>
      <c r="C7" s="589" t="s">
        <v>7</v>
      </c>
      <c r="D7" s="589" t="s">
        <v>462</v>
      </c>
      <c r="E7" s="589" t="s">
        <v>463</v>
      </c>
      <c r="F7" s="578" t="s">
        <v>464</v>
      </c>
      <c r="G7" s="578" t="s">
        <v>465</v>
      </c>
      <c r="H7" s="589" t="s">
        <v>466</v>
      </c>
      <c r="I7" s="589" t="s">
        <v>137</v>
      </c>
      <c r="J7" s="589" t="s">
        <v>128</v>
      </c>
      <c r="K7" s="621" t="s">
        <v>138</v>
      </c>
    </row>
    <row r="8" spans="1:11">
      <c r="A8" s="688"/>
      <c r="B8" s="589"/>
      <c r="C8" s="589"/>
      <c r="D8" s="589"/>
      <c r="E8" s="589"/>
      <c r="F8" s="580"/>
      <c r="G8" s="580"/>
      <c r="H8" s="589"/>
      <c r="I8" s="589"/>
      <c r="J8" s="589"/>
      <c r="K8" s="621"/>
    </row>
    <row r="9" spans="1:11">
      <c r="A9" s="145">
        <v>1</v>
      </c>
      <c r="B9" s="145">
        <v>2</v>
      </c>
      <c r="C9" s="145">
        <v>3</v>
      </c>
      <c r="D9" s="145">
        <v>4</v>
      </c>
      <c r="E9" s="145">
        <v>5</v>
      </c>
      <c r="F9" s="145">
        <v>6</v>
      </c>
      <c r="G9" s="145">
        <v>7</v>
      </c>
      <c r="H9" s="145">
        <v>8</v>
      </c>
      <c r="I9" s="145">
        <v>9</v>
      </c>
      <c r="J9" s="145">
        <v>10</v>
      </c>
      <c r="K9" s="145">
        <v>11</v>
      </c>
    </row>
    <row r="10" spans="1:11" ht="56.25" customHeight="1">
      <c r="A10" s="423">
        <v>1</v>
      </c>
      <c r="B10" s="470">
        <v>600</v>
      </c>
      <c r="C10" s="470">
        <v>60014</v>
      </c>
      <c r="D10" s="506" t="s">
        <v>467</v>
      </c>
      <c r="E10" s="506" t="s">
        <v>468</v>
      </c>
      <c r="F10" s="506" t="s">
        <v>423</v>
      </c>
      <c r="G10" s="470">
        <v>2010</v>
      </c>
      <c r="H10" s="520">
        <v>1916574.78</v>
      </c>
      <c r="I10" s="521">
        <v>1884839.23</v>
      </c>
      <c r="J10" s="522">
        <v>1884839.23</v>
      </c>
      <c r="K10" s="517">
        <f>J10/I10*100</f>
        <v>100</v>
      </c>
    </row>
    <row r="11" spans="1:11" ht="36.75" customHeight="1">
      <c r="A11" s="507">
        <v>2</v>
      </c>
      <c r="B11" s="470">
        <v>600</v>
      </c>
      <c r="C11" s="470">
        <v>60014</v>
      </c>
      <c r="D11" s="506" t="s">
        <v>467</v>
      </c>
      <c r="E11" s="506" t="s">
        <v>483</v>
      </c>
      <c r="F11" s="506" t="s">
        <v>423</v>
      </c>
      <c r="G11" s="470">
        <v>2010</v>
      </c>
      <c r="H11" s="520">
        <v>2083391</v>
      </c>
      <c r="I11" s="521">
        <v>2100000</v>
      </c>
      <c r="J11" s="522">
        <v>2037042.02</v>
      </c>
      <c r="K11" s="517">
        <f t="shared" ref="K11:K19" si="0">J11/I11*100</f>
        <v>97.002000952380953</v>
      </c>
    </row>
    <row r="12" spans="1:11" ht="40.5" customHeight="1">
      <c r="A12" s="507">
        <v>3</v>
      </c>
      <c r="B12" s="470">
        <v>801</v>
      </c>
      <c r="C12" s="470">
        <v>80111</v>
      </c>
      <c r="D12" s="506" t="s">
        <v>467</v>
      </c>
      <c r="E12" s="506" t="s">
        <v>485</v>
      </c>
      <c r="F12" s="506" t="s">
        <v>423</v>
      </c>
      <c r="G12" s="470" t="s">
        <v>456</v>
      </c>
      <c r="H12" s="520">
        <v>1205548.5</v>
      </c>
      <c r="I12" s="521">
        <v>919544</v>
      </c>
      <c r="J12" s="522">
        <v>893299.56</v>
      </c>
      <c r="K12" s="517">
        <f t="shared" si="0"/>
        <v>97.145928851691707</v>
      </c>
    </row>
    <row r="13" spans="1:11" ht="27" customHeight="1">
      <c r="A13" s="507">
        <v>4</v>
      </c>
      <c r="B13" s="470">
        <v>801</v>
      </c>
      <c r="C13" s="470">
        <v>80111</v>
      </c>
      <c r="D13" s="506" t="s">
        <v>484</v>
      </c>
      <c r="E13" s="506" t="s">
        <v>486</v>
      </c>
      <c r="F13" s="506" t="s">
        <v>423</v>
      </c>
      <c r="G13" s="470" t="s">
        <v>457</v>
      </c>
      <c r="H13" s="520">
        <v>670673.80000000005</v>
      </c>
      <c r="I13" s="521">
        <v>683454.4</v>
      </c>
      <c r="J13" s="522">
        <v>650474.81999999995</v>
      </c>
      <c r="K13" s="517">
        <f t="shared" si="0"/>
        <v>95.174574924091488</v>
      </c>
    </row>
    <row r="14" spans="1:11" ht="27.75" customHeight="1">
      <c r="A14" s="507">
        <v>5</v>
      </c>
      <c r="B14" s="470">
        <v>801</v>
      </c>
      <c r="C14" s="470">
        <v>80120</v>
      </c>
      <c r="D14" s="506" t="s">
        <v>484</v>
      </c>
      <c r="E14" s="506" t="s">
        <v>487</v>
      </c>
      <c r="F14" s="506" t="s">
        <v>423</v>
      </c>
      <c r="G14" s="470" t="s">
        <v>456</v>
      </c>
      <c r="H14" s="520">
        <v>565570</v>
      </c>
      <c r="I14" s="521">
        <v>548477.29</v>
      </c>
      <c r="J14" s="522">
        <v>415387.92</v>
      </c>
      <c r="K14" s="517">
        <f t="shared" si="0"/>
        <v>75.734752846375812</v>
      </c>
    </row>
    <row r="15" spans="1:11" ht="28.5" customHeight="1">
      <c r="A15" s="507">
        <v>6</v>
      </c>
      <c r="B15" s="470">
        <v>801</v>
      </c>
      <c r="C15" s="470">
        <v>80130</v>
      </c>
      <c r="D15" s="506" t="s">
        <v>484</v>
      </c>
      <c r="E15" s="506" t="s">
        <v>488</v>
      </c>
      <c r="F15" s="506" t="s">
        <v>423</v>
      </c>
      <c r="G15" s="470" t="s">
        <v>456</v>
      </c>
      <c r="H15" s="520">
        <v>1244824</v>
      </c>
      <c r="I15" s="521">
        <v>1230640.78</v>
      </c>
      <c r="J15" s="522">
        <v>991506.03</v>
      </c>
      <c r="K15" s="517">
        <f t="shared" si="0"/>
        <v>80.568273546078984</v>
      </c>
    </row>
    <row r="16" spans="1:11" ht="28.5" customHeight="1">
      <c r="A16" s="507">
        <v>7</v>
      </c>
      <c r="B16" s="470">
        <v>801</v>
      </c>
      <c r="C16" s="470">
        <v>80130</v>
      </c>
      <c r="D16" s="506" t="s">
        <v>484</v>
      </c>
      <c r="E16" s="506" t="s">
        <v>489</v>
      </c>
      <c r="F16" s="506" t="s">
        <v>423</v>
      </c>
      <c r="G16" s="470" t="s">
        <v>456</v>
      </c>
      <c r="H16" s="520">
        <v>962456</v>
      </c>
      <c r="I16" s="521">
        <v>952298.48</v>
      </c>
      <c r="J16" s="522">
        <v>688459.74</v>
      </c>
      <c r="K16" s="517">
        <f t="shared" si="0"/>
        <v>72.294533117389832</v>
      </c>
    </row>
    <row r="17" spans="1:11" ht="26.25" customHeight="1">
      <c r="A17" s="507">
        <v>8</v>
      </c>
      <c r="B17" s="470">
        <v>853</v>
      </c>
      <c r="C17" s="470">
        <v>85333</v>
      </c>
      <c r="D17" s="506" t="s">
        <v>484</v>
      </c>
      <c r="E17" s="506" t="s">
        <v>490</v>
      </c>
      <c r="F17" s="506" t="s">
        <v>423</v>
      </c>
      <c r="G17" s="470" t="s">
        <v>457</v>
      </c>
      <c r="H17" s="520">
        <v>394601.11</v>
      </c>
      <c r="I17" s="521">
        <v>395000</v>
      </c>
      <c r="J17" s="522">
        <v>377015.63</v>
      </c>
      <c r="K17" s="517">
        <f t="shared" si="0"/>
        <v>95.446994936708862</v>
      </c>
    </row>
    <row r="18" spans="1:11" ht="29.25" customHeight="1">
      <c r="A18" s="507">
        <v>9</v>
      </c>
      <c r="B18" s="471">
        <v>853</v>
      </c>
      <c r="C18" s="471">
        <v>85395</v>
      </c>
      <c r="D18" s="519" t="s">
        <v>469</v>
      </c>
      <c r="E18" s="518" t="s">
        <v>470</v>
      </c>
      <c r="F18" s="518" t="s">
        <v>471</v>
      </c>
      <c r="G18" s="473" t="s">
        <v>449</v>
      </c>
      <c r="H18" s="523">
        <f>65583.19+86742.67+86786.83</f>
        <v>239112.69</v>
      </c>
      <c r="I18" s="524">
        <v>86786.83</v>
      </c>
      <c r="J18" s="524">
        <v>86786.83</v>
      </c>
      <c r="K18" s="517">
        <f t="shared" si="0"/>
        <v>100</v>
      </c>
    </row>
    <row r="19" spans="1:11" ht="45">
      <c r="A19" s="507">
        <v>10</v>
      </c>
      <c r="B19" s="472">
        <v>853</v>
      </c>
      <c r="C19" s="472">
        <v>85395</v>
      </c>
      <c r="D19" s="519" t="s">
        <v>469</v>
      </c>
      <c r="E19" s="519" t="s">
        <v>472</v>
      </c>
      <c r="F19" s="519" t="s">
        <v>473</v>
      </c>
      <c r="G19" s="472" t="s">
        <v>474</v>
      </c>
      <c r="H19" s="524">
        <f>855733.5+929545.17+J19</f>
        <v>2991717.27</v>
      </c>
      <c r="I19" s="524">
        <v>1213481.3</v>
      </c>
      <c r="J19" s="524">
        <f>417339.5+43859.29+745239.81</f>
        <v>1206438.6000000001</v>
      </c>
      <c r="K19" s="517">
        <f t="shared" si="0"/>
        <v>99.419628468934789</v>
      </c>
    </row>
  </sheetData>
  <mergeCells count="14">
    <mergeCell ref="H7:H8"/>
    <mergeCell ref="J1:K1"/>
    <mergeCell ref="A2:K4"/>
    <mergeCell ref="A5:K5"/>
    <mergeCell ref="A7:A8"/>
    <mergeCell ref="B7:B8"/>
    <mergeCell ref="C7:C8"/>
    <mergeCell ref="D7:D8"/>
    <mergeCell ref="E7:E8"/>
    <mergeCell ref="F7:F8"/>
    <mergeCell ref="G7:G8"/>
    <mergeCell ref="K7:K8"/>
    <mergeCell ref="I7:I8"/>
    <mergeCell ref="J7:J8"/>
  </mergeCells>
  <pageMargins left="0.7" right="0.7" top="0.75" bottom="0.75" header="0.3" footer="0.3"/>
  <pageSetup paperSize="9" orientation="landscape" r:id="rId1"/>
  <headerFooter>
    <oddFooter>&amp;CZałącznik nr 2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>
  <dimension ref="A1:L15"/>
  <sheetViews>
    <sheetView tabSelected="1" workbookViewId="0">
      <selection activeCell="H25" sqref="H25"/>
    </sheetView>
  </sheetViews>
  <sheetFormatPr defaultRowHeight="12.75"/>
  <cols>
    <col min="2" max="2" width="12" customWidth="1"/>
    <col min="3" max="3" width="10.42578125" customWidth="1"/>
    <col min="4" max="4" width="9.85546875" customWidth="1"/>
    <col min="5" max="6" width="10.7109375" customWidth="1"/>
    <col min="7" max="7" width="10.140625" customWidth="1"/>
    <col min="8" max="8" width="10.42578125" customWidth="1"/>
    <col min="10" max="10" width="10.28515625" customWidth="1"/>
    <col min="11" max="11" width="10.42578125" customWidth="1"/>
    <col min="12" max="12" width="11.140625" customWidth="1"/>
  </cols>
  <sheetData>
    <row r="1" spans="1:12">
      <c r="K1" t="s">
        <v>530</v>
      </c>
    </row>
    <row r="3" spans="1:12" ht="15.75">
      <c r="A3" s="713" t="s">
        <v>531</v>
      </c>
      <c r="B3" s="713"/>
      <c r="C3" s="713"/>
      <c r="D3" s="713"/>
      <c r="E3" s="713"/>
      <c r="F3" s="713"/>
      <c r="G3" s="713"/>
      <c r="H3" s="713"/>
      <c r="I3" s="713"/>
      <c r="J3" s="713"/>
      <c r="K3" s="713"/>
      <c r="L3" s="713"/>
    </row>
    <row r="4" spans="1:12" ht="15.75">
      <c r="A4" s="714" t="s">
        <v>532</v>
      </c>
      <c r="B4" s="714"/>
      <c r="C4" s="714"/>
      <c r="D4" s="714"/>
      <c r="E4" s="714"/>
      <c r="F4" s="714"/>
      <c r="G4" s="714"/>
      <c r="H4" s="714"/>
      <c r="I4" s="714"/>
      <c r="J4" s="714"/>
      <c r="K4" s="714"/>
      <c r="L4" s="714"/>
    </row>
    <row r="5" spans="1:12" ht="15">
      <c r="L5" s="715" t="s">
        <v>168</v>
      </c>
    </row>
    <row r="6" spans="1:12" ht="48">
      <c r="A6" s="716" t="s">
        <v>7</v>
      </c>
      <c r="B6" s="717" t="s">
        <v>533</v>
      </c>
      <c r="C6" s="717" t="s">
        <v>534</v>
      </c>
      <c r="D6" s="717" t="s">
        <v>535</v>
      </c>
      <c r="E6" s="717" t="s">
        <v>536</v>
      </c>
      <c r="F6" s="717" t="s">
        <v>537</v>
      </c>
      <c r="G6" s="717" t="s">
        <v>538</v>
      </c>
      <c r="H6" s="717" t="s">
        <v>539</v>
      </c>
      <c r="I6" s="717" t="s">
        <v>540</v>
      </c>
      <c r="J6" s="717" t="s">
        <v>541</v>
      </c>
      <c r="K6" s="717" t="s">
        <v>542</v>
      </c>
      <c r="L6" s="718" t="s">
        <v>543</v>
      </c>
    </row>
    <row r="7" spans="1:12">
      <c r="A7" s="719"/>
      <c r="B7" s="720" t="s">
        <v>544</v>
      </c>
      <c r="C7" s="720" t="s">
        <v>545</v>
      </c>
      <c r="D7" s="720" t="s">
        <v>546</v>
      </c>
      <c r="E7" s="720" t="s">
        <v>547</v>
      </c>
      <c r="F7" s="720" t="s">
        <v>548</v>
      </c>
      <c r="G7" s="720" t="s">
        <v>549</v>
      </c>
      <c r="H7" s="720" t="s">
        <v>550</v>
      </c>
      <c r="I7" s="720" t="s">
        <v>551</v>
      </c>
      <c r="J7" s="720" t="s">
        <v>552</v>
      </c>
      <c r="K7" s="720" t="s">
        <v>553</v>
      </c>
      <c r="L7" s="721"/>
    </row>
    <row r="8" spans="1:12">
      <c r="A8" s="722">
        <v>60014</v>
      </c>
      <c r="B8" s="723">
        <v>2568282</v>
      </c>
      <c r="C8" s="724"/>
      <c r="D8" s="724"/>
      <c r="E8" s="724">
        <v>2049238.05</v>
      </c>
      <c r="F8" s="724">
        <v>-618494.28</v>
      </c>
      <c r="G8" s="724">
        <v>16420.32</v>
      </c>
      <c r="H8" s="724">
        <v>223894.43</v>
      </c>
      <c r="I8" s="724">
        <v>29075.35</v>
      </c>
      <c r="J8" s="724">
        <v>-283556.84000000003</v>
      </c>
      <c r="K8" s="724">
        <v>-19.8</v>
      </c>
      <c r="L8" s="724">
        <f>SUM(B8:K8)</f>
        <v>3984839.2299999995</v>
      </c>
    </row>
    <row r="9" spans="1:12">
      <c r="A9" s="722">
        <v>80111</v>
      </c>
      <c r="B9" s="723"/>
      <c r="C9" s="724">
        <v>835603.67</v>
      </c>
      <c r="D9" s="724">
        <v>1781.2</v>
      </c>
      <c r="E9" s="724"/>
      <c r="F9" s="724"/>
      <c r="G9" s="724"/>
      <c r="H9" s="724">
        <v>922686.85</v>
      </c>
      <c r="I9" s="725"/>
      <c r="J9" s="724">
        <v>-165527.72</v>
      </c>
      <c r="K9" s="724"/>
      <c r="L9" s="724">
        <f t="shared" ref="L9:L15" si="0">SUM(B9:K9)</f>
        <v>1594544</v>
      </c>
    </row>
    <row r="10" spans="1:12">
      <c r="A10" s="722">
        <v>80120</v>
      </c>
      <c r="B10" s="723"/>
      <c r="C10" s="724">
        <v>860908.68</v>
      </c>
      <c r="D10" s="724">
        <v>1171.2</v>
      </c>
      <c r="E10" s="724"/>
      <c r="F10" s="724"/>
      <c r="G10" s="724"/>
      <c r="H10" s="724"/>
      <c r="I10" s="725"/>
      <c r="J10" s="724">
        <v>-322079.88</v>
      </c>
      <c r="K10" s="724"/>
      <c r="L10" s="724">
        <f t="shared" si="0"/>
        <v>540000</v>
      </c>
    </row>
    <row r="11" spans="1:12">
      <c r="A11" s="722">
        <v>80130</v>
      </c>
      <c r="B11" s="723"/>
      <c r="C11" s="724">
        <v>2861216.63</v>
      </c>
      <c r="D11" s="724">
        <v>2952.4</v>
      </c>
      <c r="E11" s="724"/>
      <c r="F11" s="724"/>
      <c r="G11" s="724">
        <v>-22000</v>
      </c>
      <c r="H11" s="724"/>
      <c r="I11" s="725"/>
      <c r="J11" s="724">
        <v>-83529.259999999995</v>
      </c>
      <c r="K11" s="724">
        <v>-595748.64</v>
      </c>
      <c r="L11" s="724">
        <f t="shared" si="0"/>
        <v>2162891.13</v>
      </c>
    </row>
    <row r="12" spans="1:12">
      <c r="A12" s="722">
        <v>85111</v>
      </c>
      <c r="B12" s="723"/>
      <c r="C12" s="724"/>
      <c r="D12" s="724"/>
      <c r="E12" s="724"/>
      <c r="F12" s="724"/>
      <c r="G12" s="725"/>
      <c r="H12" s="725"/>
      <c r="I12" s="725"/>
      <c r="J12" s="724">
        <v>28428.12</v>
      </c>
      <c r="K12" s="724">
        <v>-28428.12</v>
      </c>
      <c r="L12" s="724">
        <f t="shared" si="0"/>
        <v>0</v>
      </c>
    </row>
    <row r="13" spans="1:12">
      <c r="A13" s="722">
        <v>85333</v>
      </c>
      <c r="B13" s="723"/>
      <c r="C13" s="724">
        <v>448403.97</v>
      </c>
      <c r="D13" s="724">
        <v>1781.2</v>
      </c>
      <c r="E13" s="724"/>
      <c r="F13" s="724"/>
      <c r="G13" s="725"/>
      <c r="H13" s="725"/>
      <c r="I13" s="725"/>
      <c r="J13" s="724">
        <v>-55185.17</v>
      </c>
      <c r="K13" s="724"/>
      <c r="L13" s="724">
        <f t="shared" si="0"/>
        <v>395000</v>
      </c>
    </row>
    <row r="14" spans="1:12">
      <c r="A14" s="722">
        <v>85395</v>
      </c>
      <c r="B14" s="723">
        <v>86786</v>
      </c>
      <c r="C14" s="724"/>
      <c r="D14" s="724"/>
      <c r="E14" s="724"/>
      <c r="F14" s="724">
        <v>1213482.1299999999</v>
      </c>
      <c r="G14" s="725"/>
      <c r="H14" s="725"/>
      <c r="I14" s="725"/>
      <c r="J14" s="724"/>
      <c r="K14" s="724"/>
      <c r="L14" s="724">
        <f t="shared" si="0"/>
        <v>1300268.1299999999</v>
      </c>
    </row>
    <row r="15" spans="1:12">
      <c r="A15" s="722">
        <v>85410</v>
      </c>
      <c r="B15" s="726"/>
      <c r="C15" s="724"/>
      <c r="D15" s="724"/>
      <c r="E15" s="724"/>
      <c r="F15" s="724"/>
      <c r="G15" s="725"/>
      <c r="H15" s="725"/>
      <c r="I15" s="725"/>
      <c r="J15" s="724">
        <v>14214.05</v>
      </c>
      <c r="K15" s="724">
        <v>-14214.05</v>
      </c>
      <c r="L15" s="724">
        <f t="shared" si="0"/>
        <v>0</v>
      </c>
    </row>
  </sheetData>
  <mergeCells count="4">
    <mergeCell ref="A3:L3"/>
    <mergeCell ref="A4:L4"/>
    <mergeCell ref="A6:A7"/>
    <mergeCell ref="L6:L7"/>
  </mergeCells>
  <pageMargins left="0.7" right="0.7" top="0.75" bottom="0.75" header="0.3" footer="0.3"/>
  <pageSetup paperSize="9" orientation="landscape"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:E196"/>
  <sheetViews>
    <sheetView topLeftCell="A18" workbookViewId="0">
      <selection activeCell="B48" sqref="B48"/>
    </sheetView>
  </sheetViews>
  <sheetFormatPr defaultRowHeight="12.75"/>
  <cols>
    <col min="1" max="1" width="7.140625" customWidth="1"/>
    <col min="2" max="2" width="46.7109375" customWidth="1"/>
    <col min="3" max="3" width="13.42578125" customWidth="1"/>
    <col min="4" max="4" width="14.7109375" customWidth="1"/>
    <col min="5" max="5" width="6.85546875" customWidth="1"/>
  </cols>
  <sheetData>
    <row r="1" spans="1:5">
      <c r="A1" s="65"/>
      <c r="B1" s="65"/>
      <c r="C1" s="65"/>
      <c r="D1" s="65"/>
    </row>
    <row r="2" spans="1:5">
      <c r="A2" s="45" t="s">
        <v>234</v>
      </c>
      <c r="B2" s="45" t="s">
        <v>191</v>
      </c>
      <c r="C2" s="45" t="s">
        <v>137</v>
      </c>
      <c r="D2" s="45" t="s">
        <v>128</v>
      </c>
      <c r="E2" s="141" t="s">
        <v>138</v>
      </c>
    </row>
    <row r="3" spans="1:5" s="107" customFormat="1" ht="10.5">
      <c r="A3" s="145">
        <v>1</v>
      </c>
      <c r="B3" s="145">
        <v>2</v>
      </c>
      <c r="C3" s="145">
        <v>3</v>
      </c>
      <c r="D3" s="145">
        <v>4</v>
      </c>
      <c r="E3" s="192">
        <v>5</v>
      </c>
    </row>
    <row r="4" spans="1:5">
      <c r="A4" s="174" t="s">
        <v>16</v>
      </c>
      <c r="B4" s="97" t="s">
        <v>15</v>
      </c>
      <c r="C4" s="413">
        <v>4388221</v>
      </c>
      <c r="D4" s="183">
        <v>4294189</v>
      </c>
      <c r="E4" s="191">
        <f>D4/C4*100</f>
        <v>97.857172644677647</v>
      </c>
    </row>
    <row r="5" spans="1:5">
      <c r="A5" s="174" t="s">
        <v>52</v>
      </c>
      <c r="B5" s="97" t="s">
        <v>53</v>
      </c>
      <c r="C5" s="413">
        <v>110000</v>
      </c>
      <c r="D5" s="183">
        <v>128455.97</v>
      </c>
      <c r="E5" s="191">
        <f t="shared" ref="E5:E24" si="0">D5/C5*100</f>
        <v>116.77815454545456</v>
      </c>
    </row>
    <row r="6" spans="1:5">
      <c r="A6" s="99" t="s">
        <v>18</v>
      </c>
      <c r="B6" s="184" t="s">
        <v>19</v>
      </c>
      <c r="C6" s="413">
        <v>692576</v>
      </c>
      <c r="D6" s="183">
        <v>790381.55</v>
      </c>
      <c r="E6" s="191">
        <f t="shared" si="0"/>
        <v>114.12199527560875</v>
      </c>
    </row>
    <row r="7" spans="1:5" ht="22.5">
      <c r="A7" s="174" t="s">
        <v>20</v>
      </c>
      <c r="B7" s="116" t="s">
        <v>23</v>
      </c>
      <c r="C7" s="413">
        <v>3600</v>
      </c>
      <c r="D7" s="183">
        <v>6885.47</v>
      </c>
      <c r="E7" s="191">
        <f t="shared" si="0"/>
        <v>191.26305555555555</v>
      </c>
    </row>
    <row r="8" spans="1:5" ht="22.5">
      <c r="A8" s="99" t="s">
        <v>181</v>
      </c>
      <c r="B8" s="184" t="s">
        <v>182</v>
      </c>
      <c r="C8" s="413">
        <v>696000</v>
      </c>
      <c r="D8" s="183">
        <v>728960.31</v>
      </c>
      <c r="E8" s="191">
        <f t="shared" si="0"/>
        <v>104.73567672413795</v>
      </c>
    </row>
    <row r="9" spans="1:5">
      <c r="A9" s="174" t="s">
        <v>130</v>
      </c>
      <c r="B9" s="116" t="s">
        <v>162</v>
      </c>
      <c r="C9" s="413">
        <v>1150</v>
      </c>
      <c r="D9" s="183">
        <v>1150</v>
      </c>
      <c r="E9" s="191">
        <f t="shared" si="0"/>
        <v>100</v>
      </c>
    </row>
    <row r="10" spans="1:5" ht="22.5">
      <c r="A10" s="211" t="s">
        <v>354</v>
      </c>
      <c r="B10" s="116" t="s">
        <v>372</v>
      </c>
      <c r="C10" s="413"/>
      <c r="D10" s="183">
        <v>16667.14</v>
      </c>
      <c r="E10" s="191"/>
    </row>
    <row r="11" spans="1:5" ht="22.5">
      <c r="A11" s="174" t="s">
        <v>148</v>
      </c>
      <c r="B11" s="116" t="s">
        <v>159</v>
      </c>
      <c r="C11" s="413">
        <v>5685</v>
      </c>
      <c r="D11" s="183">
        <v>5866.92</v>
      </c>
      <c r="E11" s="191">
        <f t="shared" si="0"/>
        <v>103.2</v>
      </c>
    </row>
    <row r="12" spans="1:5">
      <c r="A12" s="174" t="s">
        <v>37</v>
      </c>
      <c r="B12" s="97" t="s">
        <v>38</v>
      </c>
      <c r="C12" s="413">
        <v>142282</v>
      </c>
      <c r="D12" s="183">
        <v>146594.38</v>
      </c>
      <c r="E12" s="191">
        <f t="shared" si="0"/>
        <v>103.03086827567789</v>
      </c>
    </row>
    <row r="13" spans="1:5" ht="33.75">
      <c r="A13" s="174" t="s">
        <v>21</v>
      </c>
      <c r="B13" s="116" t="s">
        <v>169</v>
      </c>
      <c r="C13" s="413">
        <v>376202.53</v>
      </c>
      <c r="D13" s="183">
        <v>421076.42</v>
      </c>
      <c r="E13" s="191">
        <f t="shared" si="0"/>
        <v>111.92812020695339</v>
      </c>
    </row>
    <row r="14" spans="1:5" ht="22.5">
      <c r="A14" s="193" t="s">
        <v>22</v>
      </c>
      <c r="B14" s="194" t="s">
        <v>60</v>
      </c>
      <c r="C14" s="414">
        <v>62000</v>
      </c>
      <c r="D14" s="195">
        <v>69298</v>
      </c>
      <c r="E14" s="191">
        <f t="shared" si="0"/>
        <v>111.77096774193549</v>
      </c>
    </row>
    <row r="15" spans="1:5">
      <c r="A15" s="193" t="s">
        <v>55</v>
      </c>
      <c r="B15" s="194" t="s">
        <v>57</v>
      </c>
      <c r="C15" s="414">
        <v>293043</v>
      </c>
      <c r="D15" s="195">
        <v>289734.34000000003</v>
      </c>
      <c r="E15" s="191">
        <f t="shared" si="0"/>
        <v>98.87093020478224</v>
      </c>
    </row>
    <row r="16" spans="1:5">
      <c r="A16" s="174" t="s">
        <v>224</v>
      </c>
      <c r="B16" s="116" t="s">
        <v>228</v>
      </c>
      <c r="C16" s="413">
        <f>C147+C148+C149</f>
        <v>0</v>
      </c>
      <c r="D16" s="183">
        <v>2281.61</v>
      </c>
      <c r="E16" s="191"/>
    </row>
    <row r="17" spans="1:5">
      <c r="A17" s="174" t="s">
        <v>49</v>
      </c>
      <c r="B17" s="116" t="s">
        <v>59</v>
      </c>
      <c r="C17" s="413">
        <v>62200</v>
      </c>
      <c r="D17" s="183">
        <v>82562.77</v>
      </c>
      <c r="E17" s="191">
        <f t="shared" si="0"/>
        <v>132.73757234726688</v>
      </c>
    </row>
    <row r="18" spans="1:5">
      <c r="A18" s="174" t="s">
        <v>101</v>
      </c>
      <c r="B18" s="116" t="s">
        <v>158</v>
      </c>
      <c r="C18" s="413">
        <v>11925</v>
      </c>
      <c r="D18" s="183">
        <v>13305.81</v>
      </c>
      <c r="E18" s="191">
        <f t="shared" si="0"/>
        <v>111.57911949685536</v>
      </c>
    </row>
    <row r="19" spans="1:5">
      <c r="A19" s="174" t="s">
        <v>56</v>
      </c>
      <c r="B19" s="116" t="s">
        <v>58</v>
      </c>
      <c r="C19" s="413">
        <v>369843.39</v>
      </c>
      <c r="D19" s="183">
        <v>481657.28</v>
      </c>
      <c r="E19" s="191">
        <f t="shared" si="0"/>
        <v>130.23276690168777</v>
      </c>
    </row>
    <row r="20" spans="1:5" ht="24" customHeight="1">
      <c r="A20" s="173">
        <v>2360</v>
      </c>
      <c r="B20" s="116" t="s">
        <v>132</v>
      </c>
      <c r="C20" s="413">
        <v>70000</v>
      </c>
      <c r="D20" s="183">
        <v>90276.7</v>
      </c>
      <c r="E20" s="191">
        <f t="shared" si="0"/>
        <v>128.96671428571429</v>
      </c>
    </row>
    <row r="21" spans="1:5" ht="24.75" customHeight="1">
      <c r="A21" s="173">
        <v>2460</v>
      </c>
      <c r="B21" s="116" t="s">
        <v>68</v>
      </c>
      <c r="C21" s="413">
        <v>260000</v>
      </c>
      <c r="D21" s="183">
        <v>248777.94</v>
      </c>
      <c r="E21" s="191">
        <f t="shared" si="0"/>
        <v>95.683823076923076</v>
      </c>
    </row>
    <row r="22" spans="1:5" ht="22.5">
      <c r="A22" s="173">
        <v>2700</v>
      </c>
      <c r="B22" s="98" t="s">
        <v>229</v>
      </c>
      <c r="C22" s="413">
        <v>10000</v>
      </c>
      <c r="D22" s="183">
        <v>10000</v>
      </c>
      <c r="E22" s="191">
        <f t="shared" si="0"/>
        <v>100</v>
      </c>
    </row>
    <row r="23" spans="1:5" ht="45">
      <c r="A23" s="174">
        <v>2910</v>
      </c>
      <c r="B23" s="116" t="s">
        <v>371</v>
      </c>
      <c r="C23" s="413">
        <v>0</v>
      </c>
      <c r="D23" s="183">
        <v>2375.36</v>
      </c>
      <c r="E23" s="191"/>
    </row>
    <row r="24" spans="1:5">
      <c r="A24" s="621" t="s">
        <v>124</v>
      </c>
      <c r="B24" s="621"/>
      <c r="C24" s="413">
        <f>SUM(C4:C23)</f>
        <v>7554727.9199999999</v>
      </c>
      <c r="D24" s="183">
        <f>SUM(D4:D23)</f>
        <v>7830496.9699999988</v>
      </c>
      <c r="E24" s="191">
        <f t="shared" si="0"/>
        <v>103.65028433744044</v>
      </c>
    </row>
    <row r="25" spans="1:5">
      <c r="A25" s="106"/>
      <c r="B25" s="185"/>
      <c r="C25" s="186"/>
      <c r="D25" s="187"/>
    </row>
    <row r="26" spans="1:5">
      <c r="A26" s="45" t="s">
        <v>234</v>
      </c>
      <c r="B26" s="45" t="s">
        <v>191</v>
      </c>
      <c r="C26" s="45" t="s">
        <v>137</v>
      </c>
      <c r="D26" s="45" t="s">
        <v>128</v>
      </c>
      <c r="E26" s="141" t="s">
        <v>138</v>
      </c>
    </row>
    <row r="27" spans="1:5" s="107" customFormat="1" ht="10.5">
      <c r="A27" s="145">
        <v>1</v>
      </c>
      <c r="B27" s="145">
        <v>2</v>
      </c>
      <c r="C27" s="145">
        <v>3</v>
      </c>
      <c r="D27" s="145">
        <v>4</v>
      </c>
      <c r="E27" s="192">
        <v>5</v>
      </c>
    </row>
    <row r="28" spans="1:5" ht="22.5" customHeight="1">
      <c r="A28" s="174">
        <v>2007</v>
      </c>
      <c r="B28" s="690" t="s">
        <v>370</v>
      </c>
      <c r="C28" s="413">
        <v>1193220.79</v>
      </c>
      <c r="D28" s="183">
        <v>1186447.5900000001</v>
      </c>
      <c r="E28" s="191">
        <f>D28/C28*100</f>
        <v>99.432359873649204</v>
      </c>
    </row>
    <row r="29" spans="1:5" ht="22.5" customHeight="1">
      <c r="A29" s="174">
        <v>2009</v>
      </c>
      <c r="B29" s="691"/>
      <c r="C29" s="413">
        <v>65084.34</v>
      </c>
      <c r="D29" s="183">
        <v>64815.24</v>
      </c>
      <c r="E29" s="191">
        <f t="shared" ref="E29:E51" si="1">D29/C29*100</f>
        <v>99.586536484813408</v>
      </c>
    </row>
    <row r="30" spans="1:5" ht="22.5">
      <c r="A30" s="173">
        <v>2110</v>
      </c>
      <c r="B30" s="116" t="s">
        <v>65</v>
      </c>
      <c r="C30" s="413">
        <v>6778270</v>
      </c>
      <c r="D30" s="183">
        <v>6644411.8700000001</v>
      </c>
      <c r="E30" s="191">
        <f t="shared" si="1"/>
        <v>98.025187400324867</v>
      </c>
    </row>
    <row r="31" spans="1:5" ht="22.5">
      <c r="A31" s="173">
        <v>2130</v>
      </c>
      <c r="B31" s="116" t="s">
        <v>157</v>
      </c>
      <c r="C31" s="413">
        <v>1809761</v>
      </c>
      <c r="D31" s="183">
        <v>1809761</v>
      </c>
      <c r="E31" s="191">
        <f t="shared" si="1"/>
        <v>100</v>
      </c>
    </row>
    <row r="32" spans="1:5" ht="24" customHeight="1">
      <c r="A32" s="173">
        <v>2310</v>
      </c>
      <c r="B32" s="98" t="s">
        <v>134</v>
      </c>
      <c r="C32" s="413">
        <v>6163</v>
      </c>
      <c r="D32" s="183">
        <v>6162.96</v>
      </c>
      <c r="E32" s="191">
        <f t="shared" si="1"/>
        <v>99.999350965438921</v>
      </c>
    </row>
    <row r="33" spans="1:5" ht="21.75" customHeight="1">
      <c r="A33" s="173">
        <v>2320</v>
      </c>
      <c r="B33" s="116" t="s">
        <v>136</v>
      </c>
      <c r="C33" s="413">
        <v>1975996.97</v>
      </c>
      <c r="D33" s="183">
        <v>2001451.55</v>
      </c>
      <c r="E33" s="191">
        <f t="shared" si="1"/>
        <v>101.28818922227396</v>
      </c>
    </row>
    <row r="34" spans="1:5" ht="22.5">
      <c r="A34" s="174">
        <v>2440</v>
      </c>
      <c r="B34" s="116" t="s">
        <v>75</v>
      </c>
      <c r="C34" s="413">
        <v>1048700</v>
      </c>
      <c r="D34" s="183">
        <v>1048957.27</v>
      </c>
      <c r="E34" s="191">
        <f t="shared" si="1"/>
        <v>100.02453227805854</v>
      </c>
    </row>
    <row r="35" spans="1:5" ht="34.5" customHeight="1">
      <c r="A35" s="211">
        <v>2710</v>
      </c>
      <c r="B35" s="204" t="s">
        <v>365</v>
      </c>
      <c r="C35" s="413">
        <v>120000</v>
      </c>
      <c r="D35" s="183">
        <v>120000</v>
      </c>
      <c r="E35" s="191">
        <f t="shared" si="1"/>
        <v>100</v>
      </c>
    </row>
    <row r="36" spans="1:5" ht="34.5" customHeight="1">
      <c r="A36" s="211">
        <v>6207</v>
      </c>
      <c r="B36" s="415" t="s">
        <v>366</v>
      </c>
      <c r="C36" s="413">
        <v>581445.68999999994</v>
      </c>
      <c r="D36" s="183">
        <v>581445.68999999994</v>
      </c>
      <c r="E36" s="191">
        <f t="shared" si="1"/>
        <v>100</v>
      </c>
    </row>
    <row r="37" spans="1:5" ht="33" customHeight="1">
      <c r="A37" s="211">
        <v>6260</v>
      </c>
      <c r="B37" s="415" t="s">
        <v>254</v>
      </c>
      <c r="C37" s="413">
        <v>400000</v>
      </c>
      <c r="D37" s="183">
        <v>400000</v>
      </c>
      <c r="E37" s="191">
        <f t="shared" si="1"/>
        <v>100</v>
      </c>
    </row>
    <row r="38" spans="1:5" ht="35.25" customHeight="1">
      <c r="A38" s="211">
        <v>6300</v>
      </c>
      <c r="B38" s="415" t="s">
        <v>367</v>
      </c>
      <c r="C38" s="413">
        <v>383000</v>
      </c>
      <c r="D38" s="183">
        <v>383000</v>
      </c>
      <c r="E38" s="191">
        <f t="shared" si="1"/>
        <v>100</v>
      </c>
    </row>
    <row r="39" spans="1:5" ht="33.75" customHeight="1">
      <c r="A39" s="211">
        <v>6410</v>
      </c>
      <c r="B39" s="415" t="s">
        <v>368</v>
      </c>
      <c r="C39" s="413">
        <v>650000</v>
      </c>
      <c r="D39" s="183">
        <v>650000</v>
      </c>
      <c r="E39" s="191">
        <f t="shared" si="1"/>
        <v>100</v>
      </c>
    </row>
    <row r="40" spans="1:5" ht="24.75" customHeight="1">
      <c r="A40" s="211">
        <v>6430</v>
      </c>
      <c r="B40" s="111" t="s">
        <v>235</v>
      </c>
      <c r="C40" s="413">
        <v>321000</v>
      </c>
      <c r="D40" s="183">
        <v>321000</v>
      </c>
      <c r="E40" s="191">
        <f t="shared" si="1"/>
        <v>100</v>
      </c>
    </row>
    <row r="41" spans="1:5" ht="36.75" customHeight="1">
      <c r="A41" s="211">
        <v>6627</v>
      </c>
      <c r="B41" s="111" t="s">
        <v>369</v>
      </c>
      <c r="C41" s="413">
        <v>1217979.1499999999</v>
      </c>
      <c r="D41" s="183">
        <v>1217979.1499999999</v>
      </c>
      <c r="E41" s="191">
        <f t="shared" si="1"/>
        <v>100</v>
      </c>
    </row>
    <row r="42" spans="1:5">
      <c r="A42" s="689" t="s">
        <v>124</v>
      </c>
      <c r="B42" s="689"/>
      <c r="C42" s="188">
        <f>SUM(C28:C41)</f>
        <v>16550620.939999999</v>
      </c>
      <c r="D42" s="188">
        <f>SUM(D28:D41)</f>
        <v>16435432.32</v>
      </c>
      <c r="E42" s="191">
        <f t="shared" si="1"/>
        <v>99.304022366184412</v>
      </c>
    </row>
    <row r="43" spans="1:5">
      <c r="A43" s="65"/>
      <c r="B43" s="65"/>
      <c r="C43" s="65"/>
      <c r="D43" s="65"/>
      <c r="E43" s="197"/>
    </row>
    <row r="44" spans="1:5">
      <c r="A44" s="45" t="s">
        <v>234</v>
      </c>
      <c r="B44" s="45" t="s">
        <v>191</v>
      </c>
      <c r="C44" s="45" t="s">
        <v>137</v>
      </c>
      <c r="D44" s="45" t="s">
        <v>128</v>
      </c>
      <c r="E44" s="141" t="s">
        <v>138</v>
      </c>
    </row>
    <row r="45" spans="1:5" s="107" customFormat="1" ht="10.5">
      <c r="A45" s="145">
        <v>1</v>
      </c>
      <c r="B45" s="145">
        <v>2</v>
      </c>
      <c r="C45" s="145">
        <v>3</v>
      </c>
      <c r="D45" s="145">
        <v>4</v>
      </c>
      <c r="E45" s="192">
        <v>5</v>
      </c>
    </row>
    <row r="46" spans="1:5">
      <c r="A46" s="173">
        <v>2920</v>
      </c>
      <c r="B46" s="97" t="s">
        <v>17</v>
      </c>
      <c r="C46" s="413">
        <v>28111325</v>
      </c>
      <c r="D46" s="183">
        <v>28111325</v>
      </c>
      <c r="E46" s="191">
        <f t="shared" si="1"/>
        <v>100</v>
      </c>
    </row>
    <row r="47" spans="1:5">
      <c r="A47" s="65"/>
      <c r="B47" s="65"/>
      <c r="C47" s="65"/>
      <c r="D47" s="65"/>
      <c r="E47" s="197"/>
    </row>
    <row r="48" spans="1:5">
      <c r="A48" s="65"/>
      <c r="B48" s="65"/>
      <c r="C48" s="189">
        <f>C24+C42+C46</f>
        <v>52216673.859999999</v>
      </c>
      <c r="D48" s="189">
        <f>D24+D42+D46</f>
        <v>52377254.289999999</v>
      </c>
      <c r="E48" s="197"/>
    </row>
    <row r="49" spans="1:5" hidden="1">
      <c r="A49" s="172"/>
      <c r="B49" s="176"/>
      <c r="C49" s="164"/>
      <c r="D49" s="180"/>
      <c r="E49" s="196" t="e">
        <f t="shared" si="1"/>
        <v>#DIV/0!</v>
      </c>
    </row>
    <row r="50" spans="1:5" hidden="1">
      <c r="A50" s="172"/>
      <c r="B50" s="176"/>
      <c r="C50" s="164"/>
      <c r="D50" s="180"/>
      <c r="E50" s="191" t="e">
        <f t="shared" si="1"/>
        <v>#DIV/0!</v>
      </c>
    </row>
    <row r="51" spans="1:5" hidden="1">
      <c r="A51" s="172"/>
      <c r="B51" s="176"/>
      <c r="C51" s="164"/>
      <c r="D51" s="180"/>
      <c r="E51" s="191" t="e">
        <f t="shared" si="1"/>
        <v>#DIV/0!</v>
      </c>
    </row>
    <row r="52" spans="1:5" hidden="1">
      <c r="A52" s="172"/>
      <c r="B52" s="176"/>
      <c r="C52" s="164"/>
      <c r="D52" s="180"/>
    </row>
    <row r="53" spans="1:5" hidden="1">
      <c r="A53" s="172"/>
      <c r="B53" s="176"/>
      <c r="C53" s="164"/>
      <c r="D53" s="180"/>
    </row>
    <row r="54" spans="1:5" hidden="1">
      <c r="A54" s="172"/>
      <c r="B54" s="176"/>
      <c r="C54" s="164"/>
      <c r="D54" s="180"/>
    </row>
    <row r="55" spans="1:5" hidden="1">
      <c r="A55" s="150"/>
      <c r="B55" s="111"/>
      <c r="C55" s="149"/>
      <c r="D55" s="169"/>
    </row>
    <row r="56" spans="1:5" hidden="1">
      <c r="A56" s="150"/>
      <c r="B56" s="111"/>
      <c r="C56" s="149"/>
      <c r="D56" s="169"/>
    </row>
    <row r="57" spans="1:5" ht="22.5" hidden="1">
      <c r="A57" s="155">
        <v>2110</v>
      </c>
      <c r="B57" s="111" t="s">
        <v>65</v>
      </c>
      <c r="C57" s="149">
        <v>88000</v>
      </c>
      <c r="D57" s="169">
        <v>47258</v>
      </c>
    </row>
    <row r="58" spans="1:5" ht="22.5" hidden="1">
      <c r="A58" s="155">
        <v>2110</v>
      </c>
      <c r="B58" s="111" t="s">
        <v>65</v>
      </c>
      <c r="C58" s="149">
        <v>61000</v>
      </c>
      <c r="D58" s="169">
        <v>35581</v>
      </c>
    </row>
    <row r="59" spans="1:5" ht="22.5" hidden="1">
      <c r="A59" s="155">
        <v>2110</v>
      </c>
      <c r="B59" s="111" t="s">
        <v>65</v>
      </c>
      <c r="C59" s="149">
        <v>74000</v>
      </c>
      <c r="D59" s="169">
        <v>39740</v>
      </c>
    </row>
    <row r="60" spans="1:5" ht="22.5" hidden="1">
      <c r="A60" s="155">
        <v>2110</v>
      </c>
      <c r="B60" s="111" t="s">
        <v>65</v>
      </c>
      <c r="C60" s="149">
        <v>19000</v>
      </c>
      <c r="D60" s="169">
        <v>10202</v>
      </c>
    </row>
    <row r="61" spans="1:5" ht="22.5" hidden="1">
      <c r="A61" s="150">
        <v>2110</v>
      </c>
      <c r="B61" s="111" t="s">
        <v>65</v>
      </c>
      <c r="C61" s="149">
        <v>248600</v>
      </c>
      <c r="D61" s="169">
        <v>133398</v>
      </c>
    </row>
    <row r="62" spans="1:5" ht="22.5" hidden="1">
      <c r="A62" s="155">
        <v>2110</v>
      </c>
      <c r="B62" s="111" t="s">
        <v>65</v>
      </c>
      <c r="C62" s="149">
        <v>101500</v>
      </c>
      <c r="D62" s="169">
        <v>54680</v>
      </c>
    </row>
    <row r="63" spans="1:5" ht="22.5" hidden="1">
      <c r="A63" s="155">
        <v>2110</v>
      </c>
      <c r="B63" s="111" t="s">
        <v>65</v>
      </c>
      <c r="C63" s="149">
        <v>16000</v>
      </c>
      <c r="D63" s="169">
        <v>16000</v>
      </c>
    </row>
    <row r="64" spans="1:5" ht="22.5" hidden="1">
      <c r="A64" s="155">
        <v>2110</v>
      </c>
      <c r="B64" s="111" t="s">
        <v>65</v>
      </c>
      <c r="C64" s="149">
        <v>2686923</v>
      </c>
      <c r="D64" s="169">
        <v>1645162</v>
      </c>
    </row>
    <row r="65" spans="1:4" ht="22.5" hidden="1">
      <c r="A65" s="155">
        <v>2110</v>
      </c>
      <c r="B65" s="111" t="s">
        <v>65</v>
      </c>
      <c r="C65" s="149">
        <v>1936000</v>
      </c>
      <c r="D65" s="169">
        <v>993796</v>
      </c>
    </row>
    <row r="66" spans="1:4" ht="22.5" hidden="1">
      <c r="A66" s="155">
        <v>2110</v>
      </c>
      <c r="B66" s="111" t="s">
        <v>65</v>
      </c>
      <c r="C66" s="149">
        <v>658300</v>
      </c>
      <c r="D66" s="169">
        <v>344273</v>
      </c>
    </row>
    <row r="67" spans="1:4" ht="22.5" hidden="1">
      <c r="A67" s="155">
        <v>2110</v>
      </c>
      <c r="B67" s="111" t="s">
        <v>65</v>
      </c>
      <c r="C67" s="149">
        <v>73000</v>
      </c>
      <c r="D67" s="169">
        <v>36498</v>
      </c>
    </row>
    <row r="68" spans="1:4" ht="22.5" hidden="1">
      <c r="A68" s="155">
        <v>2110</v>
      </c>
      <c r="B68" s="111" t="s">
        <v>65</v>
      </c>
      <c r="C68" s="149">
        <v>15286</v>
      </c>
      <c r="D68" s="169">
        <v>15286</v>
      </c>
    </row>
    <row r="69" spans="1:4" ht="33.75" hidden="1">
      <c r="A69" s="155">
        <v>2120</v>
      </c>
      <c r="B69" s="111" t="s">
        <v>24</v>
      </c>
      <c r="C69" s="149">
        <v>2000</v>
      </c>
      <c r="D69" s="169">
        <v>0</v>
      </c>
    </row>
    <row r="70" spans="1:4" ht="22.5" hidden="1">
      <c r="A70" s="155">
        <v>2130</v>
      </c>
      <c r="B70" s="111" t="s">
        <v>157</v>
      </c>
      <c r="C70" s="149">
        <v>1240</v>
      </c>
      <c r="D70" s="169">
        <v>1240</v>
      </c>
    </row>
    <row r="71" spans="1:4" ht="22.5" hidden="1">
      <c r="A71" s="155">
        <v>2130</v>
      </c>
      <c r="B71" s="111" t="s">
        <v>25</v>
      </c>
      <c r="C71" s="149">
        <v>1970000</v>
      </c>
      <c r="D71" s="169">
        <v>925015</v>
      </c>
    </row>
    <row r="72" spans="1:4" ht="22.5" hidden="1">
      <c r="A72" s="155">
        <v>2130</v>
      </c>
      <c r="B72" s="111" t="s">
        <v>25</v>
      </c>
      <c r="C72" s="149">
        <v>2700</v>
      </c>
      <c r="D72" s="169">
        <v>2700</v>
      </c>
    </row>
    <row r="73" spans="1:4" ht="22.5" hidden="1">
      <c r="A73" s="150">
        <v>2130</v>
      </c>
      <c r="B73" s="111" t="s">
        <v>25</v>
      </c>
      <c r="C73" s="149">
        <v>9600</v>
      </c>
      <c r="D73" s="169">
        <v>9600</v>
      </c>
    </row>
    <row r="74" spans="1:4" ht="33.75" hidden="1">
      <c r="A74" s="155">
        <v>2310</v>
      </c>
      <c r="B74" s="156" t="s">
        <v>134</v>
      </c>
      <c r="C74" s="149">
        <v>5000</v>
      </c>
      <c r="D74" s="169">
        <v>10000</v>
      </c>
    </row>
    <row r="75" spans="1:4" ht="33.75" hidden="1">
      <c r="A75" s="155">
        <v>2310</v>
      </c>
      <c r="B75" s="156" t="s">
        <v>134</v>
      </c>
      <c r="C75" s="149">
        <v>5289</v>
      </c>
      <c r="D75" s="169">
        <v>5288.68</v>
      </c>
    </row>
    <row r="76" spans="1:4" ht="33.75" hidden="1">
      <c r="A76" s="155">
        <v>2310</v>
      </c>
      <c r="B76" s="156" t="s">
        <v>134</v>
      </c>
      <c r="C76" s="149">
        <v>19500</v>
      </c>
      <c r="D76" s="169">
        <v>12000</v>
      </c>
    </row>
    <row r="77" spans="1:4" ht="33.75" hidden="1">
      <c r="A77" s="155">
        <v>2320</v>
      </c>
      <c r="B77" s="111" t="s">
        <v>136</v>
      </c>
      <c r="C77" s="149">
        <v>1224095</v>
      </c>
      <c r="D77" s="169">
        <v>698814.3</v>
      </c>
    </row>
    <row r="78" spans="1:4" ht="33.75" hidden="1">
      <c r="A78" s="150">
        <v>2320</v>
      </c>
      <c r="B78" s="111" t="s">
        <v>136</v>
      </c>
      <c r="C78" s="149">
        <v>72872</v>
      </c>
      <c r="D78" s="169">
        <v>40750.400000000001</v>
      </c>
    </row>
    <row r="79" spans="1:4" ht="33.75" hidden="1">
      <c r="A79" s="155">
        <v>2360</v>
      </c>
      <c r="B79" s="111" t="s">
        <v>132</v>
      </c>
      <c r="C79" s="149">
        <v>0</v>
      </c>
      <c r="D79" s="169">
        <v>122.29</v>
      </c>
    </row>
    <row r="80" spans="1:4" ht="33.75" hidden="1">
      <c r="A80" s="155">
        <v>2360</v>
      </c>
      <c r="B80" s="111" t="s">
        <v>132</v>
      </c>
      <c r="C80" s="149">
        <v>100000</v>
      </c>
      <c r="D80" s="169">
        <v>68487.899999999994</v>
      </c>
    </row>
    <row r="81" spans="1:4" ht="33.75" hidden="1">
      <c r="A81" s="150">
        <v>2360</v>
      </c>
      <c r="B81" s="111" t="s">
        <v>132</v>
      </c>
      <c r="C81" s="149">
        <v>0</v>
      </c>
      <c r="D81" s="169">
        <v>12.5</v>
      </c>
    </row>
    <row r="82" spans="1:4" ht="33.75" hidden="1">
      <c r="A82" s="155">
        <v>2360</v>
      </c>
      <c r="B82" s="111" t="s">
        <v>132</v>
      </c>
      <c r="C82" s="149">
        <v>0</v>
      </c>
      <c r="D82" s="169">
        <v>4.7300000000000004</v>
      </c>
    </row>
    <row r="83" spans="1:4" ht="33.75" hidden="1">
      <c r="A83" s="155">
        <v>2360</v>
      </c>
      <c r="B83" s="111" t="s">
        <v>132</v>
      </c>
      <c r="C83" s="149">
        <v>0</v>
      </c>
      <c r="D83" s="169">
        <v>110.12</v>
      </c>
    </row>
    <row r="84" spans="1:4" ht="22.5" hidden="1">
      <c r="A84" s="150">
        <v>2440</v>
      </c>
      <c r="B84" s="111" t="s">
        <v>75</v>
      </c>
      <c r="C84" s="149">
        <v>100000</v>
      </c>
      <c r="D84" s="169">
        <v>0</v>
      </c>
    </row>
    <row r="85" spans="1:4" ht="22.5" hidden="1">
      <c r="A85" s="155">
        <v>2440</v>
      </c>
      <c r="B85" s="156" t="s">
        <v>139</v>
      </c>
      <c r="C85" s="149">
        <v>170000</v>
      </c>
      <c r="D85" s="169">
        <v>95420.3</v>
      </c>
    </row>
    <row r="86" spans="1:4" ht="22.5" hidden="1">
      <c r="A86" s="155">
        <v>2440</v>
      </c>
      <c r="B86" s="156" t="s">
        <v>139</v>
      </c>
      <c r="C86" s="149">
        <v>524500</v>
      </c>
      <c r="D86" s="169">
        <v>262250</v>
      </c>
    </row>
    <row r="87" spans="1:4" ht="22.5" hidden="1">
      <c r="A87" s="155">
        <v>2440</v>
      </c>
      <c r="B87" s="156" t="s">
        <v>139</v>
      </c>
      <c r="C87" s="149">
        <v>85956</v>
      </c>
      <c r="D87" s="169">
        <v>43058</v>
      </c>
    </row>
    <row r="88" spans="1:4" ht="33.75" hidden="1">
      <c r="A88" s="155">
        <v>2460</v>
      </c>
      <c r="B88" s="111" t="s">
        <v>68</v>
      </c>
      <c r="C88" s="149">
        <v>247000</v>
      </c>
      <c r="D88" s="169">
        <v>119746.74</v>
      </c>
    </row>
    <row r="89" spans="1:4" ht="22.5" hidden="1">
      <c r="A89" s="155">
        <v>2707</v>
      </c>
      <c r="B89" s="156" t="s">
        <v>229</v>
      </c>
      <c r="C89" s="149">
        <v>0</v>
      </c>
      <c r="D89" s="169">
        <v>285.12</v>
      </c>
    </row>
    <row r="90" spans="1:4" ht="22.5" hidden="1">
      <c r="A90" s="150">
        <v>2708</v>
      </c>
      <c r="B90" s="111" t="s">
        <v>183</v>
      </c>
      <c r="C90" s="149">
        <v>14844</v>
      </c>
      <c r="D90" s="169">
        <v>0</v>
      </c>
    </row>
    <row r="91" spans="1:4" ht="22.5" hidden="1">
      <c r="A91" s="155">
        <v>2709</v>
      </c>
      <c r="B91" s="156" t="s">
        <v>229</v>
      </c>
      <c r="C91" s="149">
        <v>0</v>
      </c>
      <c r="D91" s="169">
        <v>6973.86</v>
      </c>
    </row>
    <row r="92" spans="1:4" ht="33.75" hidden="1">
      <c r="A92" s="150">
        <v>2710</v>
      </c>
      <c r="B92" s="111" t="s">
        <v>185</v>
      </c>
      <c r="C92" s="149">
        <v>700</v>
      </c>
      <c r="D92" s="169">
        <v>700</v>
      </c>
    </row>
    <row r="93" spans="1:4" ht="22.5" hidden="1">
      <c r="A93" s="150">
        <v>2910</v>
      </c>
      <c r="B93" s="111" t="s">
        <v>135</v>
      </c>
      <c r="C93" s="149">
        <v>4139</v>
      </c>
      <c r="D93" s="169">
        <v>5021.1000000000004</v>
      </c>
    </row>
    <row r="94" spans="1:4" hidden="1">
      <c r="A94" s="155">
        <v>2920</v>
      </c>
      <c r="B94" s="114" t="s">
        <v>17</v>
      </c>
      <c r="C94" s="149">
        <v>15002419</v>
      </c>
      <c r="D94" s="169">
        <v>9232256</v>
      </c>
    </row>
    <row r="95" spans="1:4" hidden="1">
      <c r="A95" s="166">
        <v>2920</v>
      </c>
      <c r="B95" s="179" t="s">
        <v>17</v>
      </c>
      <c r="C95" s="164">
        <v>4950372</v>
      </c>
      <c r="D95" s="180">
        <v>2062655</v>
      </c>
    </row>
    <row r="96" spans="1:4" hidden="1">
      <c r="A96" s="166">
        <v>2920</v>
      </c>
      <c r="B96" s="179" t="s">
        <v>17</v>
      </c>
      <c r="C96" s="164">
        <v>1145933</v>
      </c>
      <c r="D96" s="180">
        <v>1015495</v>
      </c>
    </row>
    <row r="97" spans="1:4" ht="33.75" hidden="1">
      <c r="A97" s="162">
        <v>6260</v>
      </c>
      <c r="B97" s="111" t="s">
        <v>186</v>
      </c>
      <c r="C97" s="164">
        <v>150000</v>
      </c>
      <c r="D97" s="180">
        <v>150000</v>
      </c>
    </row>
    <row r="98" spans="1:4" ht="33.75" hidden="1">
      <c r="A98" s="166">
        <v>8538</v>
      </c>
      <c r="B98" s="176" t="s">
        <v>178</v>
      </c>
      <c r="C98" s="164">
        <v>63375</v>
      </c>
      <c r="D98" s="180">
        <v>14607.2</v>
      </c>
    </row>
    <row r="99" spans="1:4" hidden="1">
      <c r="A99" s="162" t="s">
        <v>16</v>
      </c>
      <c r="B99" s="179" t="s">
        <v>15</v>
      </c>
      <c r="C99" s="164">
        <v>4151439</v>
      </c>
      <c r="D99" s="180">
        <v>1929235</v>
      </c>
    </row>
    <row r="100" spans="1:4" hidden="1">
      <c r="A100" s="161" t="s">
        <v>52</v>
      </c>
      <c r="B100" s="114" t="s">
        <v>53</v>
      </c>
      <c r="C100" s="164">
        <v>150000</v>
      </c>
      <c r="D100" s="180">
        <v>95981.33</v>
      </c>
    </row>
    <row r="101" spans="1:4" hidden="1">
      <c r="A101" s="158" t="s">
        <v>18</v>
      </c>
      <c r="B101" s="177" t="s">
        <v>19</v>
      </c>
      <c r="C101" s="160">
        <v>700000</v>
      </c>
      <c r="D101" s="181">
        <v>446975.1</v>
      </c>
    </row>
    <row r="102" spans="1:4" ht="22.5" hidden="1">
      <c r="A102" s="178" t="s">
        <v>20</v>
      </c>
      <c r="B102" s="176" t="s">
        <v>23</v>
      </c>
      <c r="C102" s="164">
        <v>17207</v>
      </c>
      <c r="D102" s="180">
        <v>41744.39</v>
      </c>
    </row>
    <row r="103" spans="1:4" ht="22.5" hidden="1">
      <c r="A103" s="175" t="s">
        <v>181</v>
      </c>
      <c r="B103" s="177" t="s">
        <v>182</v>
      </c>
      <c r="C103" s="168">
        <v>139000</v>
      </c>
      <c r="D103" s="170">
        <v>141973.85999999999</v>
      </c>
    </row>
    <row r="104" spans="1:4" hidden="1">
      <c r="A104" s="150" t="s">
        <v>130</v>
      </c>
      <c r="B104" s="116" t="s">
        <v>162</v>
      </c>
      <c r="C104" s="149">
        <v>6948</v>
      </c>
      <c r="D104" s="169">
        <v>5215.8999999999996</v>
      </c>
    </row>
    <row r="105" spans="1:4" ht="22.5" hidden="1">
      <c r="A105" s="150" t="s">
        <v>148</v>
      </c>
      <c r="B105" s="111" t="s">
        <v>159</v>
      </c>
      <c r="C105" s="149">
        <v>2897</v>
      </c>
      <c r="D105" s="169">
        <v>2540.84</v>
      </c>
    </row>
    <row r="106" spans="1:4" hidden="1">
      <c r="A106" s="150" t="s">
        <v>37</v>
      </c>
      <c r="B106" s="114" t="s">
        <v>38</v>
      </c>
      <c r="C106" s="149">
        <v>0</v>
      </c>
      <c r="D106" s="169">
        <v>149.6</v>
      </c>
    </row>
    <row r="107" spans="1:4" hidden="1">
      <c r="A107" s="110" t="s">
        <v>37</v>
      </c>
      <c r="B107" s="114" t="s">
        <v>38</v>
      </c>
      <c r="C107" s="149">
        <v>16420</v>
      </c>
      <c r="D107" s="169">
        <v>1161.07</v>
      </c>
    </row>
    <row r="108" spans="1:4" hidden="1">
      <c r="A108" s="175" t="s">
        <v>37</v>
      </c>
      <c r="B108" s="114" t="s">
        <v>38</v>
      </c>
      <c r="C108" s="168"/>
      <c r="D108" s="170">
        <v>12159.73</v>
      </c>
    </row>
    <row r="109" spans="1:4" hidden="1">
      <c r="A109" s="150" t="s">
        <v>37</v>
      </c>
      <c r="B109" s="114" t="s">
        <v>38</v>
      </c>
      <c r="C109" s="149">
        <v>500</v>
      </c>
      <c r="D109" s="169">
        <v>204</v>
      </c>
    </row>
    <row r="110" spans="1:4" hidden="1">
      <c r="A110" s="150" t="s">
        <v>37</v>
      </c>
      <c r="B110" s="114" t="s">
        <v>38</v>
      </c>
      <c r="C110" s="149">
        <v>60</v>
      </c>
      <c r="D110" s="169">
        <v>52.2</v>
      </c>
    </row>
    <row r="111" spans="1:4" hidden="1">
      <c r="A111" s="150" t="s">
        <v>37</v>
      </c>
      <c r="B111" s="114" t="s">
        <v>38</v>
      </c>
      <c r="C111" s="149">
        <v>20</v>
      </c>
      <c r="D111" s="169">
        <v>17.399999999999999</v>
      </c>
    </row>
    <row r="112" spans="1:4" hidden="1">
      <c r="A112" s="150" t="s">
        <v>37</v>
      </c>
      <c r="B112" s="114" t="s">
        <v>38</v>
      </c>
      <c r="C112" s="149">
        <v>20</v>
      </c>
      <c r="D112" s="169">
        <v>17.399999999999999</v>
      </c>
    </row>
    <row r="113" spans="1:4" hidden="1">
      <c r="A113" s="150" t="s">
        <v>37</v>
      </c>
      <c r="B113" s="114" t="s">
        <v>38</v>
      </c>
      <c r="C113" s="149">
        <v>958</v>
      </c>
      <c r="D113" s="169">
        <v>390</v>
      </c>
    </row>
    <row r="114" spans="1:4" hidden="1">
      <c r="A114" s="150" t="s">
        <v>37</v>
      </c>
      <c r="B114" s="114" t="s">
        <v>38</v>
      </c>
      <c r="C114" s="149">
        <v>1500</v>
      </c>
      <c r="D114" s="169">
        <v>133</v>
      </c>
    </row>
    <row r="115" spans="1:4" ht="33.75" hidden="1">
      <c r="A115" s="150" t="s">
        <v>21</v>
      </c>
      <c r="B115" s="111" t="s">
        <v>169</v>
      </c>
      <c r="C115" s="149">
        <v>10200</v>
      </c>
      <c r="D115" s="169">
        <v>5100</v>
      </c>
    </row>
    <row r="116" spans="1:4" ht="33.75" hidden="1">
      <c r="A116" s="150" t="s">
        <v>21</v>
      </c>
      <c r="B116" s="111" t="s">
        <v>169</v>
      </c>
      <c r="C116" s="149">
        <v>40000</v>
      </c>
      <c r="D116" s="169">
        <v>13080.64</v>
      </c>
    </row>
    <row r="117" spans="1:4" ht="33.75" hidden="1">
      <c r="A117" s="150" t="s">
        <v>21</v>
      </c>
      <c r="B117" s="111" t="s">
        <v>169</v>
      </c>
      <c r="C117" s="168">
        <v>3000</v>
      </c>
      <c r="D117" s="170">
        <v>1950</v>
      </c>
    </row>
    <row r="118" spans="1:4" ht="33.75" hidden="1">
      <c r="A118" s="150" t="s">
        <v>21</v>
      </c>
      <c r="B118" s="111" t="s">
        <v>169</v>
      </c>
      <c r="C118" s="149">
        <v>5200</v>
      </c>
      <c r="D118" s="169">
        <v>3800</v>
      </c>
    </row>
    <row r="119" spans="1:4" ht="33.75" hidden="1">
      <c r="A119" s="150" t="s">
        <v>21</v>
      </c>
      <c r="B119" s="111" t="s">
        <v>169</v>
      </c>
      <c r="C119" s="149">
        <v>40000</v>
      </c>
      <c r="D119" s="169">
        <v>22644.47</v>
      </c>
    </row>
    <row r="120" spans="1:4" ht="33.75" hidden="1">
      <c r="A120" s="150" t="s">
        <v>21</v>
      </c>
      <c r="B120" s="111" t="s">
        <v>169</v>
      </c>
      <c r="C120" s="149">
        <v>1200</v>
      </c>
      <c r="D120" s="169">
        <v>3465</v>
      </c>
    </row>
    <row r="121" spans="1:4" ht="33.75" hidden="1">
      <c r="A121" s="150" t="s">
        <v>21</v>
      </c>
      <c r="B121" s="111" t="s">
        <v>169</v>
      </c>
      <c r="C121" s="149">
        <v>400</v>
      </c>
      <c r="D121" s="169">
        <v>1154.96</v>
      </c>
    </row>
    <row r="122" spans="1:4" ht="33.75" hidden="1">
      <c r="A122" s="150" t="s">
        <v>21</v>
      </c>
      <c r="B122" s="111" t="s">
        <v>169</v>
      </c>
      <c r="C122" s="149">
        <v>400</v>
      </c>
      <c r="D122" s="169">
        <v>1154.96</v>
      </c>
    </row>
    <row r="123" spans="1:4" ht="33.75" hidden="1">
      <c r="A123" s="150" t="s">
        <v>21</v>
      </c>
      <c r="B123" s="111" t="s">
        <v>169</v>
      </c>
      <c r="C123" s="149">
        <v>32598</v>
      </c>
      <c r="D123" s="169">
        <v>21323.52</v>
      </c>
    </row>
    <row r="124" spans="1:4" ht="33.75" hidden="1">
      <c r="A124" s="150" t="s">
        <v>21</v>
      </c>
      <c r="B124" s="111" t="s">
        <v>169</v>
      </c>
      <c r="C124" s="149">
        <v>14719</v>
      </c>
      <c r="D124" s="169">
        <v>31543.25</v>
      </c>
    </row>
    <row r="125" spans="1:4" ht="33.75" hidden="1">
      <c r="A125" s="150" t="s">
        <v>21</v>
      </c>
      <c r="B125" s="111" t="s">
        <v>169</v>
      </c>
      <c r="C125" s="149">
        <v>0</v>
      </c>
      <c r="D125" s="169">
        <v>5634.36</v>
      </c>
    </row>
    <row r="126" spans="1:4" ht="33.75" hidden="1">
      <c r="A126" s="150" t="s">
        <v>21</v>
      </c>
      <c r="B126" s="111" t="s">
        <v>169</v>
      </c>
      <c r="C126" s="149">
        <v>5850</v>
      </c>
      <c r="D126" s="169">
        <v>8350</v>
      </c>
    </row>
    <row r="127" spans="1:4" ht="33.75" hidden="1">
      <c r="A127" s="150" t="s">
        <v>21</v>
      </c>
      <c r="B127" s="111" t="s">
        <v>133</v>
      </c>
      <c r="C127" s="149">
        <v>37694</v>
      </c>
      <c r="D127" s="169">
        <v>26247.16</v>
      </c>
    </row>
    <row r="128" spans="1:4" ht="33.75" hidden="1">
      <c r="A128" s="150" t="s">
        <v>21</v>
      </c>
      <c r="B128" s="111" t="s">
        <v>169</v>
      </c>
      <c r="C128" s="149">
        <v>900</v>
      </c>
      <c r="D128" s="169">
        <v>3000</v>
      </c>
    </row>
    <row r="129" spans="1:4" ht="33.75" hidden="1">
      <c r="A129" s="150" t="s">
        <v>21</v>
      </c>
      <c r="B129" s="111" t="s">
        <v>169</v>
      </c>
      <c r="C129" s="149">
        <v>13945</v>
      </c>
      <c r="D129" s="169">
        <v>7838.68</v>
      </c>
    </row>
    <row r="130" spans="1:4" ht="33.75" hidden="1">
      <c r="A130" s="150" t="s">
        <v>21</v>
      </c>
      <c r="B130" s="111" t="s">
        <v>169</v>
      </c>
      <c r="C130" s="149">
        <v>6500</v>
      </c>
      <c r="D130" s="169">
        <v>2100</v>
      </c>
    </row>
    <row r="131" spans="1:4" ht="33.75" hidden="1">
      <c r="A131" s="150" t="s">
        <v>21</v>
      </c>
      <c r="B131" s="111" t="s">
        <v>169</v>
      </c>
      <c r="C131" s="149">
        <v>150</v>
      </c>
      <c r="D131" s="169">
        <v>150</v>
      </c>
    </row>
    <row r="132" spans="1:4" ht="33.75" hidden="1">
      <c r="A132" s="150" t="s">
        <v>21</v>
      </c>
      <c r="B132" s="111" t="s">
        <v>169</v>
      </c>
      <c r="C132" s="149">
        <v>0</v>
      </c>
      <c r="D132" s="169">
        <v>7963.85</v>
      </c>
    </row>
    <row r="133" spans="1:4" ht="22.5" hidden="1">
      <c r="A133" s="150" t="s">
        <v>22</v>
      </c>
      <c r="B133" s="111" t="s">
        <v>60</v>
      </c>
      <c r="C133" s="149">
        <v>812900</v>
      </c>
      <c r="D133" s="169">
        <v>812900</v>
      </c>
    </row>
    <row r="134" spans="1:4" ht="22.5" hidden="1">
      <c r="A134" s="150" t="s">
        <v>22</v>
      </c>
      <c r="B134" s="111" t="s">
        <v>60</v>
      </c>
      <c r="C134" s="149">
        <v>1114479</v>
      </c>
      <c r="D134" s="169">
        <v>757956.11</v>
      </c>
    </row>
    <row r="135" spans="1:4" hidden="1">
      <c r="A135" s="150" t="s">
        <v>55</v>
      </c>
      <c r="B135" s="111" t="s">
        <v>57</v>
      </c>
      <c r="C135" s="149">
        <v>510</v>
      </c>
      <c r="D135" s="169">
        <v>510.04</v>
      </c>
    </row>
    <row r="136" spans="1:4" hidden="1">
      <c r="A136" s="150" t="s">
        <v>55</v>
      </c>
      <c r="B136" s="111" t="s">
        <v>57</v>
      </c>
      <c r="C136" s="149">
        <v>1500</v>
      </c>
      <c r="D136" s="169">
        <v>1768.2</v>
      </c>
    </row>
    <row r="137" spans="1:4" hidden="1">
      <c r="A137" s="150" t="s">
        <v>55</v>
      </c>
      <c r="B137" s="111" t="s">
        <v>57</v>
      </c>
      <c r="C137" s="149">
        <v>10539</v>
      </c>
      <c r="D137" s="169">
        <v>7603.08</v>
      </c>
    </row>
    <row r="138" spans="1:4" hidden="1">
      <c r="A138" s="150" t="s">
        <v>55</v>
      </c>
      <c r="B138" s="111" t="s">
        <v>57</v>
      </c>
      <c r="C138" s="149">
        <v>19308</v>
      </c>
      <c r="D138" s="169">
        <v>32696.59</v>
      </c>
    </row>
    <row r="139" spans="1:4" hidden="1">
      <c r="A139" s="150" t="s">
        <v>55</v>
      </c>
      <c r="B139" s="111" t="s">
        <v>57</v>
      </c>
      <c r="C139" s="149">
        <v>9252</v>
      </c>
      <c r="D139" s="169">
        <v>9060.11</v>
      </c>
    </row>
    <row r="140" spans="1:4" hidden="1">
      <c r="A140" s="150" t="s">
        <v>55</v>
      </c>
      <c r="B140" s="111" t="s">
        <v>57</v>
      </c>
      <c r="C140" s="149">
        <v>17000</v>
      </c>
      <c r="D140" s="169">
        <v>6060</v>
      </c>
    </row>
    <row r="141" spans="1:4" hidden="1">
      <c r="A141" s="150" t="s">
        <v>55</v>
      </c>
      <c r="B141" s="111" t="s">
        <v>57</v>
      </c>
      <c r="C141" s="149">
        <v>67473</v>
      </c>
      <c r="D141" s="169">
        <v>23842</v>
      </c>
    </row>
    <row r="142" spans="1:4" hidden="1">
      <c r="A142" s="150" t="s">
        <v>55</v>
      </c>
      <c r="B142" s="111" t="s">
        <v>57</v>
      </c>
      <c r="C142" s="149">
        <v>75000</v>
      </c>
      <c r="D142" s="169">
        <v>73088.86</v>
      </c>
    </row>
    <row r="143" spans="1:4" hidden="1">
      <c r="A143" s="150" t="s">
        <v>55</v>
      </c>
      <c r="B143" s="111" t="s">
        <v>57</v>
      </c>
      <c r="C143" s="149">
        <v>35086</v>
      </c>
      <c r="D143" s="169">
        <v>13143.46</v>
      </c>
    </row>
    <row r="144" spans="1:4" hidden="1">
      <c r="A144" s="150" t="s">
        <v>225</v>
      </c>
      <c r="B144" s="111" t="s">
        <v>230</v>
      </c>
      <c r="C144" s="149"/>
      <c r="D144" s="169">
        <v>169.33</v>
      </c>
    </row>
    <row r="145" spans="1:4" ht="22.5" hidden="1">
      <c r="A145" s="161" t="s">
        <v>226</v>
      </c>
      <c r="B145" s="113" t="s">
        <v>231</v>
      </c>
      <c r="C145" s="167"/>
      <c r="D145" s="169">
        <v>1469.2</v>
      </c>
    </row>
    <row r="146" spans="1:4" ht="22.5" hidden="1">
      <c r="A146" s="161" t="s">
        <v>226</v>
      </c>
      <c r="B146" s="113" t="s">
        <v>231</v>
      </c>
      <c r="C146" s="149">
        <v>0</v>
      </c>
      <c r="D146" s="169">
        <v>42</v>
      </c>
    </row>
    <row r="147" spans="1:4" hidden="1">
      <c r="A147" s="161" t="s">
        <v>224</v>
      </c>
      <c r="B147" s="111" t="s">
        <v>228</v>
      </c>
      <c r="C147" s="149">
        <v>0</v>
      </c>
      <c r="D147" s="169">
        <v>2.2200000000000002</v>
      </c>
    </row>
    <row r="148" spans="1:4" hidden="1">
      <c r="A148" s="161" t="s">
        <v>224</v>
      </c>
      <c r="B148" s="111" t="s">
        <v>228</v>
      </c>
      <c r="C148" s="149"/>
      <c r="D148" s="169">
        <v>56.7</v>
      </c>
    </row>
    <row r="149" spans="1:4" hidden="1">
      <c r="A149" s="161" t="s">
        <v>224</v>
      </c>
      <c r="B149" s="111" t="s">
        <v>228</v>
      </c>
      <c r="C149" s="168"/>
      <c r="D149" s="170">
        <v>177.99</v>
      </c>
    </row>
    <row r="150" spans="1:4" hidden="1">
      <c r="A150" s="161" t="s">
        <v>49</v>
      </c>
      <c r="B150" s="111" t="s">
        <v>59</v>
      </c>
      <c r="C150" s="149">
        <v>400</v>
      </c>
      <c r="D150" s="169">
        <v>1234.29</v>
      </c>
    </row>
    <row r="151" spans="1:4" hidden="1">
      <c r="A151" s="161" t="s">
        <v>49</v>
      </c>
      <c r="B151" s="111" t="s">
        <v>59</v>
      </c>
      <c r="C151" s="149">
        <v>10000</v>
      </c>
      <c r="D151" s="169">
        <v>1670.9</v>
      </c>
    </row>
    <row r="152" spans="1:4" hidden="1">
      <c r="A152" s="161" t="s">
        <v>49</v>
      </c>
      <c r="B152" s="111" t="s">
        <v>59</v>
      </c>
      <c r="C152" s="149">
        <v>0</v>
      </c>
      <c r="D152" s="169">
        <v>369.18</v>
      </c>
    </row>
    <row r="153" spans="1:4" hidden="1">
      <c r="A153" s="134" t="s">
        <v>49</v>
      </c>
      <c r="B153" s="111" t="s">
        <v>59</v>
      </c>
      <c r="C153" s="149">
        <v>0</v>
      </c>
      <c r="D153" s="169">
        <v>308.86</v>
      </c>
    </row>
    <row r="154" spans="1:4" hidden="1">
      <c r="A154" s="161" t="s">
        <v>49</v>
      </c>
      <c r="B154" s="111" t="s">
        <v>59</v>
      </c>
      <c r="C154" s="149">
        <v>0</v>
      </c>
      <c r="D154" s="169">
        <v>3873.64</v>
      </c>
    </row>
    <row r="155" spans="1:4" hidden="1">
      <c r="A155" s="161" t="s">
        <v>49</v>
      </c>
      <c r="B155" s="114" t="s">
        <v>59</v>
      </c>
      <c r="C155" s="149">
        <v>37477</v>
      </c>
      <c r="D155" s="169">
        <v>69143.710000000006</v>
      </c>
    </row>
    <row r="156" spans="1:4" hidden="1">
      <c r="A156" s="161" t="s">
        <v>49</v>
      </c>
      <c r="B156" s="111" t="s">
        <v>59</v>
      </c>
      <c r="C156" s="149">
        <v>450</v>
      </c>
      <c r="D156" s="169">
        <v>438.53</v>
      </c>
    </row>
    <row r="157" spans="1:4" hidden="1">
      <c r="A157" s="161" t="s">
        <v>49</v>
      </c>
      <c r="B157" s="111" t="s">
        <v>59</v>
      </c>
      <c r="C157" s="149">
        <v>360</v>
      </c>
      <c r="D157" s="169">
        <v>531.79</v>
      </c>
    </row>
    <row r="158" spans="1:4" hidden="1">
      <c r="A158" s="161" t="s">
        <v>49</v>
      </c>
      <c r="B158" s="111" t="s">
        <v>59</v>
      </c>
      <c r="C158" s="149">
        <v>54</v>
      </c>
      <c r="D158" s="169">
        <v>100.79</v>
      </c>
    </row>
    <row r="159" spans="1:4" hidden="1">
      <c r="A159" s="161" t="s">
        <v>49</v>
      </c>
      <c r="B159" s="111" t="s">
        <v>59</v>
      </c>
      <c r="C159" s="149">
        <v>18</v>
      </c>
      <c r="D159" s="169">
        <v>33.57</v>
      </c>
    </row>
    <row r="160" spans="1:4" hidden="1">
      <c r="A160" s="161" t="s">
        <v>49</v>
      </c>
      <c r="B160" s="111" t="s">
        <v>59</v>
      </c>
      <c r="C160" s="149">
        <v>18</v>
      </c>
      <c r="D160" s="169">
        <v>33.57</v>
      </c>
    </row>
    <row r="161" spans="1:4" hidden="1">
      <c r="A161" s="161" t="s">
        <v>49</v>
      </c>
      <c r="B161" s="111" t="s">
        <v>59</v>
      </c>
      <c r="C161" s="149">
        <v>1252</v>
      </c>
      <c r="D161" s="169">
        <v>1169.3599999999999</v>
      </c>
    </row>
    <row r="162" spans="1:4" hidden="1">
      <c r="A162" s="161" t="s">
        <v>49</v>
      </c>
      <c r="B162" s="111" t="s">
        <v>59</v>
      </c>
      <c r="C162" s="149">
        <v>700</v>
      </c>
      <c r="D162" s="169">
        <v>580.64</v>
      </c>
    </row>
    <row r="163" spans="1:4" hidden="1">
      <c r="A163" s="161" t="s">
        <v>49</v>
      </c>
      <c r="B163" s="111" t="s">
        <v>59</v>
      </c>
      <c r="C163" s="149">
        <v>3444</v>
      </c>
      <c r="D163" s="169">
        <v>2278.0300000000002</v>
      </c>
    </row>
    <row r="164" spans="1:4" hidden="1">
      <c r="A164" s="161" t="s">
        <v>49</v>
      </c>
      <c r="B164" s="111" t="s">
        <v>59</v>
      </c>
      <c r="C164" s="149">
        <v>0</v>
      </c>
      <c r="D164" s="169">
        <v>7369.52</v>
      </c>
    </row>
    <row r="165" spans="1:4" hidden="1">
      <c r="A165" s="161" t="s">
        <v>49</v>
      </c>
      <c r="B165" s="111" t="s">
        <v>59</v>
      </c>
      <c r="C165" s="167">
        <v>0</v>
      </c>
      <c r="D165" s="170">
        <v>65.599999999999994</v>
      </c>
    </row>
    <row r="166" spans="1:4" hidden="1">
      <c r="A166" s="161" t="s">
        <v>49</v>
      </c>
      <c r="B166" s="111" t="s">
        <v>59</v>
      </c>
      <c r="C166" s="149">
        <v>0</v>
      </c>
      <c r="D166" s="169">
        <v>373.34</v>
      </c>
    </row>
    <row r="167" spans="1:4" hidden="1">
      <c r="A167" s="161" t="s">
        <v>49</v>
      </c>
      <c r="B167" s="111" t="s">
        <v>59</v>
      </c>
      <c r="C167" s="149">
        <v>300</v>
      </c>
      <c r="D167" s="169">
        <v>1118.94</v>
      </c>
    </row>
    <row r="168" spans="1:4" hidden="1">
      <c r="A168" s="150" t="s">
        <v>49</v>
      </c>
      <c r="B168" s="111" t="s">
        <v>59</v>
      </c>
      <c r="C168" s="149">
        <v>500</v>
      </c>
      <c r="D168" s="169">
        <v>3591.94</v>
      </c>
    </row>
    <row r="169" spans="1:4" hidden="1">
      <c r="A169" s="150" t="s">
        <v>49</v>
      </c>
      <c r="B169" s="111" t="s">
        <v>59</v>
      </c>
      <c r="C169" s="149">
        <v>500</v>
      </c>
      <c r="D169" s="169">
        <v>600.77</v>
      </c>
    </row>
    <row r="170" spans="1:4" hidden="1">
      <c r="A170" s="150" t="s">
        <v>49</v>
      </c>
      <c r="B170" s="111" t="s">
        <v>59</v>
      </c>
      <c r="C170" s="149">
        <v>323</v>
      </c>
      <c r="D170" s="169">
        <v>345.33</v>
      </c>
    </row>
    <row r="171" spans="1:4" hidden="1">
      <c r="A171" s="150" t="s">
        <v>49</v>
      </c>
      <c r="B171" s="111" t="s">
        <v>59</v>
      </c>
      <c r="C171" s="149">
        <v>300</v>
      </c>
      <c r="D171" s="169">
        <v>490.16</v>
      </c>
    </row>
    <row r="172" spans="1:4" hidden="1">
      <c r="A172" s="150" t="s">
        <v>101</v>
      </c>
      <c r="B172" s="111" t="s">
        <v>158</v>
      </c>
      <c r="C172" s="149">
        <v>60</v>
      </c>
      <c r="D172" s="169">
        <v>0</v>
      </c>
    </row>
    <row r="173" spans="1:4" hidden="1">
      <c r="A173" s="150" t="s">
        <v>101</v>
      </c>
      <c r="B173" s="111" t="s">
        <v>158</v>
      </c>
      <c r="C173" s="149">
        <v>20</v>
      </c>
      <c r="D173" s="169">
        <v>0</v>
      </c>
    </row>
    <row r="174" spans="1:4" hidden="1">
      <c r="A174" s="150" t="s">
        <v>101</v>
      </c>
      <c r="B174" s="111" t="s">
        <v>158</v>
      </c>
      <c r="C174" s="149">
        <v>20</v>
      </c>
      <c r="D174" s="169">
        <v>0</v>
      </c>
    </row>
    <row r="175" spans="1:4" hidden="1">
      <c r="A175" s="150" t="s">
        <v>101</v>
      </c>
      <c r="B175" s="111" t="s">
        <v>158</v>
      </c>
      <c r="C175" s="149">
        <v>1149</v>
      </c>
      <c r="D175" s="169">
        <v>1148.95</v>
      </c>
    </row>
    <row r="176" spans="1:4" hidden="1">
      <c r="A176" s="150" t="s">
        <v>101</v>
      </c>
      <c r="B176" s="111" t="s">
        <v>158</v>
      </c>
      <c r="C176" s="149">
        <v>0</v>
      </c>
      <c r="D176" s="169">
        <v>165.91</v>
      </c>
    </row>
    <row r="177" spans="1:4" hidden="1">
      <c r="A177" s="150" t="s">
        <v>56</v>
      </c>
      <c r="B177" s="111" t="s">
        <v>58</v>
      </c>
      <c r="C177" s="149">
        <v>3190</v>
      </c>
      <c r="D177" s="169">
        <v>10280.530000000001</v>
      </c>
    </row>
    <row r="178" spans="1:4" hidden="1">
      <c r="A178" s="150" t="s">
        <v>56</v>
      </c>
      <c r="B178" s="111" t="s">
        <v>58</v>
      </c>
      <c r="C178" s="149">
        <v>5000</v>
      </c>
      <c r="D178" s="169">
        <v>200.23</v>
      </c>
    </row>
    <row r="179" spans="1:4" hidden="1">
      <c r="A179" s="110" t="s">
        <v>56</v>
      </c>
      <c r="B179" s="111" t="s">
        <v>58</v>
      </c>
      <c r="C179" s="149">
        <v>0</v>
      </c>
      <c r="D179" s="169">
        <v>11884.08</v>
      </c>
    </row>
    <row r="180" spans="1:4" hidden="1">
      <c r="A180" s="150" t="s">
        <v>56</v>
      </c>
      <c r="B180" s="111" t="s">
        <v>58</v>
      </c>
      <c r="C180" s="149">
        <v>0</v>
      </c>
      <c r="D180" s="169">
        <v>330</v>
      </c>
    </row>
    <row r="181" spans="1:4" hidden="1">
      <c r="A181" s="150" t="s">
        <v>56</v>
      </c>
      <c r="B181" s="111" t="s">
        <v>58</v>
      </c>
      <c r="C181" s="149">
        <v>300</v>
      </c>
      <c r="D181" s="169">
        <v>156.08000000000001</v>
      </c>
    </row>
    <row r="182" spans="1:4" hidden="1">
      <c r="A182" s="150" t="s">
        <v>56</v>
      </c>
      <c r="B182" s="111" t="s">
        <v>58</v>
      </c>
      <c r="C182" s="149">
        <v>72</v>
      </c>
      <c r="D182" s="169">
        <v>28.6</v>
      </c>
    </row>
    <row r="183" spans="1:4" hidden="1">
      <c r="A183" s="150" t="s">
        <v>56</v>
      </c>
      <c r="B183" s="111" t="s">
        <v>58</v>
      </c>
      <c r="C183" s="149">
        <v>24</v>
      </c>
      <c r="D183" s="169">
        <v>9.52</v>
      </c>
    </row>
    <row r="184" spans="1:4" hidden="1">
      <c r="A184" s="150" t="s">
        <v>56</v>
      </c>
      <c r="B184" s="111" t="s">
        <v>58</v>
      </c>
      <c r="C184" s="149">
        <v>24</v>
      </c>
      <c r="D184" s="169">
        <v>9.52</v>
      </c>
    </row>
    <row r="185" spans="1:4" hidden="1">
      <c r="A185" s="150" t="s">
        <v>56</v>
      </c>
      <c r="B185" s="111" t="s">
        <v>58</v>
      </c>
      <c r="C185" s="149">
        <v>7436</v>
      </c>
      <c r="D185" s="169">
        <v>7370.49</v>
      </c>
    </row>
    <row r="186" spans="1:4" hidden="1">
      <c r="A186" s="150" t="s">
        <v>56</v>
      </c>
      <c r="B186" s="111" t="s">
        <v>58</v>
      </c>
      <c r="C186" s="149">
        <v>1548</v>
      </c>
      <c r="D186" s="169">
        <v>1548</v>
      </c>
    </row>
    <row r="187" spans="1:4" hidden="1">
      <c r="A187" s="150" t="s">
        <v>56</v>
      </c>
      <c r="B187" s="111" t="s">
        <v>58</v>
      </c>
      <c r="C187" s="149">
        <v>676</v>
      </c>
      <c r="D187" s="169">
        <v>826.37</v>
      </c>
    </row>
    <row r="188" spans="1:4" hidden="1">
      <c r="A188" s="150" t="s">
        <v>56</v>
      </c>
      <c r="B188" s="111" t="s">
        <v>58</v>
      </c>
      <c r="C188" s="149">
        <v>0</v>
      </c>
      <c r="D188" s="169">
        <v>98</v>
      </c>
    </row>
    <row r="189" spans="1:4" hidden="1">
      <c r="A189" s="150" t="s">
        <v>56</v>
      </c>
      <c r="B189" s="111" t="s">
        <v>58</v>
      </c>
      <c r="C189" s="149"/>
      <c r="D189" s="169">
        <v>638.64</v>
      </c>
    </row>
    <row r="190" spans="1:4" hidden="1">
      <c r="A190" s="150" t="s">
        <v>56</v>
      </c>
      <c r="B190" s="111" t="s">
        <v>58</v>
      </c>
      <c r="C190" s="149">
        <v>30650</v>
      </c>
      <c r="D190" s="169">
        <v>16959</v>
      </c>
    </row>
    <row r="191" spans="1:4" hidden="1">
      <c r="A191" s="150" t="s">
        <v>56</v>
      </c>
      <c r="B191" s="111" t="s">
        <v>58</v>
      </c>
      <c r="C191" s="149">
        <v>1200</v>
      </c>
      <c r="D191" s="169">
        <v>412.08</v>
      </c>
    </row>
    <row r="192" spans="1:4" hidden="1">
      <c r="A192" s="150" t="s">
        <v>56</v>
      </c>
      <c r="B192" s="111" t="s">
        <v>58</v>
      </c>
      <c r="C192" s="149">
        <v>0</v>
      </c>
      <c r="D192" s="169">
        <v>48</v>
      </c>
    </row>
    <row r="193" spans="1:4" hidden="1">
      <c r="A193" s="150" t="s">
        <v>56</v>
      </c>
      <c r="B193" s="111" t="s">
        <v>58</v>
      </c>
      <c r="C193" s="149">
        <v>65</v>
      </c>
      <c r="D193" s="169">
        <v>37</v>
      </c>
    </row>
    <row r="194" spans="1:4" hidden="1">
      <c r="A194" s="150" t="s">
        <v>56</v>
      </c>
      <c r="B194" s="111" t="s">
        <v>58</v>
      </c>
      <c r="C194" s="149">
        <v>1000</v>
      </c>
      <c r="D194" s="169">
        <v>0</v>
      </c>
    </row>
    <row r="195" spans="1:4" ht="22.5" hidden="1">
      <c r="A195" s="150" t="s">
        <v>227</v>
      </c>
      <c r="B195" s="111" t="s">
        <v>135</v>
      </c>
      <c r="C195" s="149">
        <v>0</v>
      </c>
      <c r="D195" s="169">
        <v>523.74</v>
      </c>
    </row>
    <row r="196" spans="1:4">
      <c r="C196" s="29"/>
      <c r="D196" s="182"/>
    </row>
  </sheetData>
  <sortState ref="A1:E192">
    <sortCondition ref="A1"/>
  </sortState>
  <mergeCells count="3">
    <mergeCell ref="A42:B42"/>
    <mergeCell ref="A24:B24"/>
    <mergeCell ref="B28:B2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19</vt:i4>
      </vt:variant>
      <vt:variant>
        <vt:lpstr>Zakresy nazwane</vt:lpstr>
      </vt:variant>
      <vt:variant>
        <vt:i4>1</vt:i4>
      </vt:variant>
    </vt:vector>
  </HeadingPairs>
  <TitlesOfParts>
    <vt:vector size="20" baseType="lpstr">
      <vt:lpstr>tab1</vt:lpstr>
      <vt:lpstr>wykres dochodów</vt:lpstr>
      <vt:lpstr>tab2</vt:lpstr>
      <vt:lpstr>tab3</vt:lpstr>
      <vt:lpstr>wykres wydatków</vt:lpstr>
      <vt:lpstr>tab11</vt:lpstr>
      <vt:lpstr>tab12</vt:lpstr>
      <vt:lpstr>tab4</vt:lpstr>
      <vt:lpstr>tab 5i6</vt:lpstr>
      <vt:lpstr>tab 7i8</vt:lpstr>
      <vt:lpstr>tab9</vt:lpstr>
      <vt:lpstr>tab10</vt:lpstr>
      <vt:lpstr>tab13</vt:lpstr>
      <vt:lpstr>tab14</vt:lpstr>
      <vt:lpstr>tab 15</vt:lpstr>
      <vt:lpstr>zał 1</vt:lpstr>
      <vt:lpstr>zał 2</vt:lpstr>
      <vt:lpstr>zał3</vt:lpstr>
      <vt:lpstr>Arkusz5</vt:lpstr>
      <vt:lpstr>'wykres dochodów'!Obszar_wydruku</vt:lpstr>
    </vt:vector>
  </TitlesOfParts>
  <Company>Powiat Białogard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Starostwo</dc:creator>
  <cp:lastModifiedBy>Starostwo Powiatowe w Białogardzie</cp:lastModifiedBy>
  <cp:lastPrinted>2011-04-14T05:54:46Z</cp:lastPrinted>
  <dcterms:created xsi:type="dcterms:W3CDTF">2003-12-03T07:20:24Z</dcterms:created>
  <dcterms:modified xsi:type="dcterms:W3CDTF">2011-04-14T05:55:17Z</dcterms:modified>
</cp:coreProperties>
</file>