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5" yWindow="5670" windowWidth="19260" windowHeight="5730" tabRatio="860" activeTab="5"/>
  </bookViews>
  <sheets>
    <sheet name="tab1" sheetId="33" r:id="rId1"/>
    <sheet name="wykres dochodów" sheetId="27" r:id="rId2"/>
    <sheet name="tab2" sheetId="8" r:id="rId3"/>
    <sheet name="tab3" sheetId="7" r:id="rId4"/>
    <sheet name="tab4" sheetId="5" r:id="rId5"/>
    <sheet name="wykres wydatków" sheetId="22" r:id="rId6"/>
    <sheet name="tab5" sheetId="31" r:id="rId7"/>
    <sheet name="tab 6i7" sheetId="30" r:id="rId8"/>
    <sheet name="tab 8i9" sheetId="36" r:id="rId9"/>
    <sheet name="tab10" sheetId="42" r:id="rId10"/>
    <sheet name="tab11" sheetId="1" r:id="rId11"/>
    <sheet name="tab12" sheetId="6" r:id="rId12"/>
    <sheet name="tab13" sheetId="40" r:id="rId13"/>
    <sheet name="tab14" sheetId="38" r:id="rId14"/>
    <sheet name="zał 19" sheetId="2" r:id="rId15"/>
    <sheet name="zał 20" sheetId="23" r:id="rId16"/>
    <sheet name="Arkusz5" sheetId="39" r:id="rId17"/>
    <sheet name="Arkusz2" sheetId="41" r:id="rId18"/>
  </sheets>
  <externalReferences>
    <externalReference r:id="rId19"/>
  </externalReferences>
  <definedNames>
    <definedName name="_xlnm.Print_Area" localSheetId="1">'wykres dochodów'!$A$1:$J$85</definedName>
  </definedNames>
  <calcPr calcId="125725"/>
</workbook>
</file>

<file path=xl/calcChain.xml><?xml version="1.0" encoding="utf-8"?>
<calcChain xmlns="http://schemas.openxmlformats.org/spreadsheetml/2006/main">
  <c r="G26" i="36"/>
  <c r="H25"/>
  <c r="H10"/>
  <c r="H9"/>
  <c r="G13"/>
  <c r="G12"/>
  <c r="G11"/>
  <c r="H10" i="42"/>
  <c r="I10" s="1"/>
  <c r="G10"/>
  <c r="I9"/>
  <c r="F26" i="36"/>
  <c r="F13"/>
  <c r="F12"/>
  <c r="F11"/>
  <c r="H32" i="30"/>
  <c r="H31"/>
  <c r="H30"/>
  <c r="F33"/>
  <c r="G33"/>
  <c r="E72" i="5"/>
  <c r="E49"/>
  <c r="E47"/>
  <c r="E46"/>
  <c r="M72"/>
  <c r="M49"/>
  <c r="M47"/>
  <c r="M46"/>
  <c r="H18" i="30"/>
  <c r="H17"/>
  <c r="H16"/>
  <c r="H15"/>
  <c r="H14"/>
  <c r="H13"/>
  <c r="H12"/>
  <c r="H11"/>
  <c r="H10"/>
  <c r="G19"/>
  <c r="G26" i="31"/>
  <c r="F26"/>
  <c r="H26" s="1"/>
  <c r="H25"/>
  <c r="F19" i="30"/>
  <c r="H24" i="31"/>
  <c r="H23"/>
  <c r="H22"/>
  <c r="H21"/>
  <c r="H20"/>
  <c r="H19"/>
  <c r="H18"/>
  <c r="H17"/>
  <c r="H16"/>
  <c r="H15"/>
  <c r="H14"/>
  <c r="H13"/>
  <c r="H12"/>
  <c r="H11"/>
  <c r="D79" i="22"/>
  <c r="E79"/>
  <c r="M71" i="41"/>
  <c r="L71"/>
  <c r="K71"/>
  <c r="J71"/>
  <c r="I71"/>
  <c r="G71"/>
  <c r="G74" s="1"/>
  <c r="E71"/>
  <c r="D71"/>
  <c r="H72"/>
  <c r="H71" s="1"/>
  <c r="G72"/>
  <c r="N73"/>
  <c r="F73"/>
  <c r="H73" s="1"/>
  <c r="N72"/>
  <c r="F72"/>
  <c r="F71" s="1"/>
  <c r="M74"/>
  <c r="L74"/>
  <c r="K74"/>
  <c r="J74"/>
  <c r="I74"/>
  <c r="E74"/>
  <c r="D74"/>
  <c r="G61"/>
  <c r="G59" s="1"/>
  <c r="G63" s="1"/>
  <c r="G60"/>
  <c r="N62"/>
  <c r="F62"/>
  <c r="H62" s="1"/>
  <c r="N61"/>
  <c r="F61"/>
  <c r="N60"/>
  <c r="F60"/>
  <c r="H60" s="1"/>
  <c r="M59"/>
  <c r="M63" s="1"/>
  <c r="L59"/>
  <c r="L63" s="1"/>
  <c r="K59"/>
  <c r="K63" s="1"/>
  <c r="J59"/>
  <c r="J63" s="1"/>
  <c r="I59"/>
  <c r="I63" s="1"/>
  <c r="E59"/>
  <c r="E63" s="1"/>
  <c r="D59"/>
  <c r="D63" s="1"/>
  <c r="G50"/>
  <c r="G48"/>
  <c r="M38"/>
  <c r="L38"/>
  <c r="K38"/>
  <c r="J38"/>
  <c r="I38"/>
  <c r="E38"/>
  <c r="M33"/>
  <c r="M40" s="1"/>
  <c r="L33"/>
  <c r="L40" s="1"/>
  <c r="K33"/>
  <c r="K40" s="1"/>
  <c r="I33"/>
  <c r="E33"/>
  <c r="E40" s="1"/>
  <c r="D33"/>
  <c r="D38"/>
  <c r="G39"/>
  <c r="G38" s="1"/>
  <c r="G37"/>
  <c r="J35"/>
  <c r="J33" s="1"/>
  <c r="J40" s="1"/>
  <c r="G35"/>
  <c r="G34"/>
  <c r="N51"/>
  <c r="F51"/>
  <c r="N50"/>
  <c r="F50"/>
  <c r="H50" s="1"/>
  <c r="M49"/>
  <c r="L49"/>
  <c r="K49"/>
  <c r="J49"/>
  <c r="I49"/>
  <c r="F49"/>
  <c r="E49"/>
  <c r="D49"/>
  <c r="N48"/>
  <c r="F48"/>
  <c r="H48" s="1"/>
  <c r="M47"/>
  <c r="M52" s="1"/>
  <c r="L47"/>
  <c r="L52" s="1"/>
  <c r="K47"/>
  <c r="K52" s="1"/>
  <c r="J47"/>
  <c r="J52" s="1"/>
  <c r="I47"/>
  <c r="I52" s="1"/>
  <c r="G47"/>
  <c r="E47"/>
  <c r="E52" s="1"/>
  <c r="D47"/>
  <c r="D52" s="1"/>
  <c r="M22"/>
  <c r="M26" s="1"/>
  <c r="L22"/>
  <c r="L26" s="1"/>
  <c r="K22"/>
  <c r="K26" s="1"/>
  <c r="J22"/>
  <c r="J26" s="1"/>
  <c r="I22"/>
  <c r="I26" s="1"/>
  <c r="E22"/>
  <c r="E26" s="1"/>
  <c r="D22"/>
  <c r="D26" s="1"/>
  <c r="G24"/>
  <c r="F24"/>
  <c r="G23"/>
  <c r="G22" s="1"/>
  <c r="G26" s="1"/>
  <c r="F23"/>
  <c r="N39"/>
  <c r="F39"/>
  <c r="H39" s="1"/>
  <c r="H38" s="1"/>
  <c r="N37"/>
  <c r="F37"/>
  <c r="H37" s="1"/>
  <c r="N36"/>
  <c r="F36"/>
  <c r="N35"/>
  <c r="F35"/>
  <c r="H35" s="1"/>
  <c r="N34"/>
  <c r="F34"/>
  <c r="F33" s="1"/>
  <c r="N13"/>
  <c r="N11"/>
  <c r="N10"/>
  <c r="N9"/>
  <c r="N8"/>
  <c r="N7"/>
  <c r="M12"/>
  <c r="L12"/>
  <c r="K12"/>
  <c r="J12"/>
  <c r="I12"/>
  <c r="E12"/>
  <c r="M6"/>
  <c r="M14" s="1"/>
  <c r="L6"/>
  <c r="L14" s="1"/>
  <c r="K6"/>
  <c r="K14" s="1"/>
  <c r="I6"/>
  <c r="E6"/>
  <c r="D6"/>
  <c r="D12"/>
  <c r="N25"/>
  <c r="F25"/>
  <c r="H25" s="1"/>
  <c r="N24"/>
  <c r="N23"/>
  <c r="G13"/>
  <c r="G12" s="1"/>
  <c r="G10"/>
  <c r="F10"/>
  <c r="G9"/>
  <c r="J9"/>
  <c r="F9"/>
  <c r="G7"/>
  <c r="F13"/>
  <c r="F12" s="1"/>
  <c r="F11"/>
  <c r="H11" s="1"/>
  <c r="F8"/>
  <c r="G8" s="1"/>
  <c r="F7"/>
  <c r="D17" i="40"/>
  <c r="D8"/>
  <c r="E8"/>
  <c r="E17"/>
  <c r="G33" i="41" l="1"/>
  <c r="G40" s="1"/>
  <c r="D40"/>
  <c r="I40"/>
  <c r="H61"/>
  <c r="H33" i="30"/>
  <c r="G14" i="36"/>
  <c r="H26"/>
  <c r="H13"/>
  <c r="H12"/>
  <c r="F14"/>
  <c r="H14" s="1"/>
  <c r="H11"/>
  <c r="H19" i="30"/>
  <c r="F74" i="41"/>
  <c r="N74"/>
  <c r="H74"/>
  <c r="N71"/>
  <c r="F59"/>
  <c r="F63" s="1"/>
  <c r="H59"/>
  <c r="H63" s="1"/>
  <c r="N63"/>
  <c r="N59"/>
  <c r="N49"/>
  <c r="G49"/>
  <c r="G52" s="1"/>
  <c r="H51"/>
  <c r="F38"/>
  <c r="F40" s="1"/>
  <c r="H47"/>
  <c r="D14"/>
  <c r="I14"/>
  <c r="N12"/>
  <c r="H49"/>
  <c r="H34"/>
  <c r="N52"/>
  <c r="F47"/>
  <c r="F52" s="1"/>
  <c r="N47"/>
  <c r="H23"/>
  <c r="H24"/>
  <c r="F22"/>
  <c r="F26" s="1"/>
  <c r="F6"/>
  <c r="F14" s="1"/>
  <c r="G6"/>
  <c r="G14" s="1"/>
  <c r="E14"/>
  <c r="N14" s="1"/>
  <c r="H36"/>
  <c r="N38"/>
  <c r="H9"/>
  <c r="H10"/>
  <c r="N26"/>
  <c r="J6"/>
  <c r="J14" s="1"/>
  <c r="H7"/>
  <c r="N40"/>
  <c r="N33"/>
  <c r="H13"/>
  <c r="H12" s="1"/>
  <c r="N22"/>
  <c r="H8"/>
  <c r="N6"/>
  <c r="N31" i="1"/>
  <c r="N30"/>
  <c r="N28"/>
  <c r="N27"/>
  <c r="N25"/>
  <c r="N23"/>
  <c r="N21"/>
  <c r="N20"/>
  <c r="N18"/>
  <c r="N17"/>
  <c r="N16"/>
  <c r="N14"/>
  <c r="N12"/>
  <c r="M29"/>
  <c r="L29"/>
  <c r="K29"/>
  <c r="I29"/>
  <c r="E29"/>
  <c r="M26"/>
  <c r="L26"/>
  <c r="K26"/>
  <c r="J26"/>
  <c r="I26"/>
  <c r="E26"/>
  <c r="M24"/>
  <c r="L24"/>
  <c r="K24"/>
  <c r="J24"/>
  <c r="I24"/>
  <c r="G24"/>
  <c r="E24"/>
  <c r="M22"/>
  <c r="L22"/>
  <c r="K22"/>
  <c r="J22"/>
  <c r="I22"/>
  <c r="E22"/>
  <c r="M19"/>
  <c r="L19"/>
  <c r="K19"/>
  <c r="J19"/>
  <c r="I19"/>
  <c r="E19"/>
  <c r="M15"/>
  <c r="L15"/>
  <c r="K15"/>
  <c r="J15"/>
  <c r="I15"/>
  <c r="E15"/>
  <c r="N15" s="1"/>
  <c r="D15"/>
  <c r="M13"/>
  <c r="L13"/>
  <c r="K13"/>
  <c r="J13"/>
  <c r="I13"/>
  <c r="G13"/>
  <c r="E13"/>
  <c r="M11"/>
  <c r="L11"/>
  <c r="K11"/>
  <c r="J11"/>
  <c r="I11"/>
  <c r="G11"/>
  <c r="E11"/>
  <c r="F31"/>
  <c r="J31" s="1"/>
  <c r="J29" s="1"/>
  <c r="G30"/>
  <c r="G29" s="1"/>
  <c r="F30"/>
  <c r="G28"/>
  <c r="F28"/>
  <c r="G27"/>
  <c r="G26" s="1"/>
  <c r="F27"/>
  <c r="F25"/>
  <c r="H25" s="1"/>
  <c r="H24" s="1"/>
  <c r="G23"/>
  <c r="G22" s="1"/>
  <c r="F23"/>
  <c r="G21"/>
  <c r="F21"/>
  <c r="F20"/>
  <c r="G20" s="1"/>
  <c r="G19" s="1"/>
  <c r="G18"/>
  <c r="G15" s="1"/>
  <c r="F18"/>
  <c r="F12"/>
  <c r="F11" s="1"/>
  <c r="G36" i="8"/>
  <c r="G35" s="1"/>
  <c r="G59" s="1"/>
  <c r="H41"/>
  <c r="H53"/>
  <c r="E52"/>
  <c r="F52"/>
  <c r="H52" s="1"/>
  <c r="H42"/>
  <c r="F36"/>
  <c r="E36"/>
  <c r="E31"/>
  <c r="F31"/>
  <c r="E13" i="38"/>
  <c r="D13"/>
  <c r="N91" i="5"/>
  <c r="N90"/>
  <c r="N89"/>
  <c r="N87"/>
  <c r="N86"/>
  <c r="N85"/>
  <c r="N83"/>
  <c r="N82"/>
  <c r="N81"/>
  <c r="N80"/>
  <c r="N79"/>
  <c r="N78"/>
  <c r="N77"/>
  <c r="N76"/>
  <c r="N74"/>
  <c r="N73"/>
  <c r="N72"/>
  <c r="N71"/>
  <c r="N70"/>
  <c r="N68"/>
  <c r="N67"/>
  <c r="N66"/>
  <c r="N65"/>
  <c r="N64"/>
  <c r="N63"/>
  <c r="N62"/>
  <c r="N61"/>
  <c r="N60"/>
  <c r="N58"/>
  <c r="N57"/>
  <c r="N56"/>
  <c r="N54"/>
  <c r="N53"/>
  <c r="N52"/>
  <c r="N51"/>
  <c r="N50"/>
  <c r="N49"/>
  <c r="N48"/>
  <c r="N47"/>
  <c r="N46"/>
  <c r="N45"/>
  <c r="N43"/>
  <c r="N41"/>
  <c r="N40"/>
  <c r="N39"/>
  <c r="N38"/>
  <c r="N36"/>
  <c r="N35"/>
  <c r="N34"/>
  <c r="N33"/>
  <c r="N32"/>
  <c r="N31"/>
  <c r="N29"/>
  <c r="N28"/>
  <c r="N27"/>
  <c r="N25"/>
  <c r="N23"/>
  <c r="N22"/>
  <c r="N21"/>
  <c r="N19"/>
  <c r="N17"/>
  <c r="N16"/>
  <c r="N14"/>
  <c r="N13"/>
  <c r="K74"/>
  <c r="K69" s="1"/>
  <c r="G74"/>
  <c r="I74"/>
  <c r="L30"/>
  <c r="K30"/>
  <c r="J30"/>
  <c r="I30"/>
  <c r="E30"/>
  <c r="F38"/>
  <c r="L88"/>
  <c r="K88"/>
  <c r="J88"/>
  <c r="H88"/>
  <c r="G88"/>
  <c r="E88"/>
  <c r="M84"/>
  <c r="L84"/>
  <c r="K84"/>
  <c r="J84"/>
  <c r="H84"/>
  <c r="G84"/>
  <c r="E84"/>
  <c r="M75"/>
  <c r="L75"/>
  <c r="K75"/>
  <c r="J75"/>
  <c r="E75"/>
  <c r="N75" s="1"/>
  <c r="D75"/>
  <c r="F83"/>
  <c r="F82"/>
  <c r="H82" s="1"/>
  <c r="G81"/>
  <c r="G78"/>
  <c r="F78"/>
  <c r="H78" s="1"/>
  <c r="G77"/>
  <c r="F77"/>
  <c r="H77" s="1"/>
  <c r="G76"/>
  <c r="L69"/>
  <c r="J69"/>
  <c r="E69"/>
  <c r="G72"/>
  <c r="M69"/>
  <c r="G71"/>
  <c r="M59"/>
  <c r="L59"/>
  <c r="K59"/>
  <c r="E59"/>
  <c r="N59" s="1"/>
  <c r="D59"/>
  <c r="F67"/>
  <c r="H67" s="1"/>
  <c r="G66"/>
  <c r="G65"/>
  <c r="G64"/>
  <c r="F64"/>
  <c r="G62"/>
  <c r="F61"/>
  <c r="J60"/>
  <c r="J59" s="1"/>
  <c r="I60"/>
  <c r="I59" s="1"/>
  <c r="G60"/>
  <c r="M55"/>
  <c r="L55"/>
  <c r="K55"/>
  <c r="J55"/>
  <c r="I55"/>
  <c r="G55"/>
  <c r="E55"/>
  <c r="N55" s="1"/>
  <c r="D55"/>
  <c r="L44"/>
  <c r="K44"/>
  <c r="I44"/>
  <c r="E44"/>
  <c r="L37"/>
  <c r="K37"/>
  <c r="J37"/>
  <c r="I37"/>
  <c r="E37"/>
  <c r="N37" s="1"/>
  <c r="D37"/>
  <c r="G53"/>
  <c r="F52"/>
  <c r="H52" s="1"/>
  <c r="G50"/>
  <c r="G49"/>
  <c r="J49"/>
  <c r="J44" s="1"/>
  <c r="F49"/>
  <c r="H49" s="1"/>
  <c r="G47"/>
  <c r="G46"/>
  <c r="M44"/>
  <c r="G45"/>
  <c r="M41"/>
  <c r="F41" s="1"/>
  <c r="H41" s="1"/>
  <c r="G39"/>
  <c r="G37" s="1"/>
  <c r="F39"/>
  <c r="G34"/>
  <c r="M26"/>
  <c r="L26"/>
  <c r="K26"/>
  <c r="J26"/>
  <c r="I26"/>
  <c r="E26"/>
  <c r="N26" s="1"/>
  <c r="D26"/>
  <c r="L24"/>
  <c r="K24"/>
  <c r="J24"/>
  <c r="I24"/>
  <c r="G24"/>
  <c r="E24"/>
  <c r="N24" s="1"/>
  <c r="D24"/>
  <c r="L20"/>
  <c r="K20"/>
  <c r="I20"/>
  <c r="E20"/>
  <c r="D20"/>
  <c r="M15"/>
  <c r="L15"/>
  <c r="K15"/>
  <c r="I15"/>
  <c r="G15"/>
  <c r="E15"/>
  <c r="N15" s="1"/>
  <c r="D15"/>
  <c r="M12"/>
  <c r="L12"/>
  <c r="K12"/>
  <c r="J12"/>
  <c r="J92" s="1"/>
  <c r="I12"/>
  <c r="G12"/>
  <c r="E12"/>
  <c r="D12"/>
  <c r="G33"/>
  <c r="M33"/>
  <c r="M30" s="1"/>
  <c r="F31"/>
  <c r="G31" s="1"/>
  <c r="G30" s="1"/>
  <c r="G29"/>
  <c r="G26" s="1"/>
  <c r="M25"/>
  <c r="M24" s="1"/>
  <c r="J22"/>
  <c r="J20" s="1"/>
  <c r="G22"/>
  <c r="G20" s="1"/>
  <c r="M22"/>
  <c r="F22" s="1"/>
  <c r="F17"/>
  <c r="H17" s="1"/>
  <c r="H15" s="1"/>
  <c r="F16"/>
  <c r="J16" s="1"/>
  <c r="J15" s="1"/>
  <c r="F14"/>
  <c r="H14" s="1"/>
  <c r="F13"/>
  <c r="H13" s="1"/>
  <c r="F49" i="33"/>
  <c r="E49"/>
  <c r="H195"/>
  <c r="H194"/>
  <c r="H191"/>
  <c r="H190"/>
  <c r="H189"/>
  <c r="H186"/>
  <c r="H185"/>
  <c r="H184"/>
  <c r="H182"/>
  <c r="H181"/>
  <c r="H180"/>
  <c r="H178"/>
  <c r="H177"/>
  <c r="H176"/>
  <c r="H175"/>
  <c r="H173"/>
  <c r="H172"/>
  <c r="H171"/>
  <c r="H167"/>
  <c r="H166"/>
  <c r="H162"/>
  <c r="H160"/>
  <c r="H159"/>
  <c r="H158"/>
  <c r="H155"/>
  <c r="H152"/>
  <c r="H149"/>
  <c r="H148"/>
  <c r="H147"/>
  <c r="H146"/>
  <c r="H144"/>
  <c r="H141"/>
  <c r="H136"/>
  <c r="H132"/>
  <c r="H130"/>
  <c r="H129"/>
  <c r="H128"/>
  <c r="H125"/>
  <c r="H123"/>
  <c r="H122"/>
  <c r="H119"/>
  <c r="H117"/>
  <c r="H114"/>
  <c r="H112"/>
  <c r="H111"/>
  <c r="H110"/>
  <c r="H106"/>
  <c r="H100"/>
  <c r="H96"/>
  <c r="H94"/>
  <c r="H93"/>
  <c r="H92"/>
  <c r="H89"/>
  <c r="H87"/>
  <c r="H85"/>
  <c r="H83"/>
  <c r="H80"/>
  <c r="H79"/>
  <c r="H76"/>
  <c r="H75"/>
  <c r="H74"/>
  <c r="H73"/>
  <c r="H70"/>
  <c r="H68"/>
  <c r="H67"/>
  <c r="H65"/>
  <c r="H60"/>
  <c r="H58"/>
  <c r="H56"/>
  <c r="H55"/>
  <c r="H53"/>
  <c r="H51"/>
  <c r="H48"/>
  <c r="H45"/>
  <c r="H42"/>
  <c r="H40"/>
  <c r="H37"/>
  <c r="H36"/>
  <c r="H32"/>
  <c r="H31"/>
  <c r="H30"/>
  <c r="H25"/>
  <c r="H23"/>
  <c r="H19"/>
  <c r="H13"/>
  <c r="G62"/>
  <c r="G61" s="1"/>
  <c r="G97"/>
  <c r="F62"/>
  <c r="H62" s="1"/>
  <c r="F183"/>
  <c r="F179"/>
  <c r="H179" s="1"/>
  <c r="F193"/>
  <c r="F188"/>
  <c r="E170"/>
  <c r="F170"/>
  <c r="H170" s="1"/>
  <c r="E163"/>
  <c r="F163"/>
  <c r="E150"/>
  <c r="F150"/>
  <c r="H150" s="1"/>
  <c r="F143"/>
  <c r="F138"/>
  <c r="H138" s="1"/>
  <c r="E138"/>
  <c r="F131"/>
  <c r="H131" s="1"/>
  <c r="E131"/>
  <c r="F116"/>
  <c r="F59"/>
  <c r="F26"/>
  <c r="F21"/>
  <c r="F17"/>
  <c r="F16" s="1"/>
  <c r="E17"/>
  <c r="E14"/>
  <c r="F14"/>
  <c r="E57"/>
  <c r="F72"/>
  <c r="E72"/>
  <c r="F91"/>
  <c r="E91"/>
  <c r="F97"/>
  <c r="F103"/>
  <c r="E109"/>
  <c r="E116"/>
  <c r="E143"/>
  <c r="E188"/>
  <c r="E187" s="1"/>
  <c r="E193"/>
  <c r="E192" s="1"/>
  <c r="E183"/>
  <c r="E179"/>
  <c r="F121"/>
  <c r="E121"/>
  <c r="E108"/>
  <c r="H108" s="1"/>
  <c r="E107"/>
  <c r="H107" s="1"/>
  <c r="E105"/>
  <c r="H105" s="1"/>
  <c r="E104"/>
  <c r="H104" s="1"/>
  <c r="E102"/>
  <c r="H102" s="1"/>
  <c r="E101"/>
  <c r="H101" s="1"/>
  <c r="E99"/>
  <c r="H99" s="1"/>
  <c r="E98"/>
  <c r="H98" s="1"/>
  <c r="E95"/>
  <c r="H95" s="1"/>
  <c r="E82"/>
  <c r="E84"/>
  <c r="E62"/>
  <c r="E59"/>
  <c r="E24"/>
  <c r="E21" s="1"/>
  <c r="E20" s="1"/>
  <c r="G11"/>
  <c r="I18" i="2"/>
  <c r="J15"/>
  <c r="H15" s="1"/>
  <c r="H18" s="1"/>
  <c r="K11" i="23"/>
  <c r="H17"/>
  <c r="F14" i="1"/>
  <c r="F13" s="1"/>
  <c r="F34" i="38"/>
  <c r="F24"/>
  <c r="F23"/>
  <c r="E33"/>
  <c r="D33"/>
  <c r="N20" i="5" l="1"/>
  <c r="H116" i="33"/>
  <c r="H188"/>
  <c r="H91"/>
  <c r="H21"/>
  <c r="H59"/>
  <c r="H143"/>
  <c r="H193"/>
  <c r="H183"/>
  <c r="H39" i="5"/>
  <c r="H37" s="1"/>
  <c r="H64"/>
  <c r="G69"/>
  <c r="G75"/>
  <c r="K92"/>
  <c r="H12" i="1"/>
  <c r="H11" s="1"/>
  <c r="H21"/>
  <c r="H19" s="1"/>
  <c r="H23"/>
  <c r="H22" s="1"/>
  <c r="E32"/>
  <c r="I32"/>
  <c r="K32"/>
  <c r="M32"/>
  <c r="H27"/>
  <c r="H28"/>
  <c r="H30"/>
  <c r="H29" s="1"/>
  <c r="L32"/>
  <c r="H52" i="41"/>
  <c r="H33"/>
  <c r="H40" s="1"/>
  <c r="H22"/>
  <c r="H26" s="1"/>
  <c r="H6"/>
  <c r="H14" s="1"/>
  <c r="G32" i="1"/>
  <c r="J32"/>
  <c r="F19"/>
  <c r="F24"/>
  <c r="F29"/>
  <c r="H18"/>
  <c r="H15" s="1"/>
  <c r="F15"/>
  <c r="F22"/>
  <c r="F26"/>
  <c r="H14"/>
  <c r="H13" s="1"/>
  <c r="F46" i="5"/>
  <c r="H46" s="1"/>
  <c r="M37"/>
  <c r="F37"/>
  <c r="H12"/>
  <c r="M20"/>
  <c r="H22"/>
  <c r="H20" s="1"/>
  <c r="F12"/>
  <c r="F15"/>
  <c r="F20"/>
  <c r="H163" i="33"/>
  <c r="H121"/>
  <c r="H72"/>
  <c r="F187"/>
  <c r="H187" s="1"/>
  <c r="F192"/>
  <c r="H192" s="1"/>
  <c r="H17"/>
  <c r="H24"/>
  <c r="E97"/>
  <c r="H97" s="1"/>
  <c r="E103"/>
  <c r="H103" s="1"/>
  <c r="F20"/>
  <c r="H20" s="1"/>
  <c r="J18" i="2"/>
  <c r="F71" i="5"/>
  <c r="H71" s="1"/>
  <c r="F91"/>
  <c r="F90"/>
  <c r="F88" l="1"/>
  <c r="I90"/>
  <c r="I88" s="1"/>
  <c r="H26" i="1"/>
  <c r="H32"/>
  <c r="F32"/>
  <c r="F86" i="5"/>
  <c r="F85"/>
  <c r="F81"/>
  <c r="H81" s="1"/>
  <c r="F80"/>
  <c r="I80" s="1"/>
  <c r="I75" s="1"/>
  <c r="F79"/>
  <c r="F76"/>
  <c r="F74"/>
  <c r="H74" s="1"/>
  <c r="F73"/>
  <c r="F72"/>
  <c r="H72" s="1"/>
  <c r="F70"/>
  <c r="I70" s="1"/>
  <c r="I69" s="1"/>
  <c r="F66"/>
  <c r="H66" s="1"/>
  <c r="F65"/>
  <c r="H65" s="1"/>
  <c r="F63"/>
  <c r="G63" s="1"/>
  <c r="G59" s="1"/>
  <c r="F62"/>
  <c r="H62" s="1"/>
  <c r="F60"/>
  <c r="F57"/>
  <c r="H57" s="1"/>
  <c r="D44"/>
  <c r="N44" s="1"/>
  <c r="F53"/>
  <c r="H53" s="1"/>
  <c r="F51"/>
  <c r="F50"/>
  <c r="H50" s="1"/>
  <c r="F48"/>
  <c r="G48" s="1"/>
  <c r="G44" s="1"/>
  <c r="F47"/>
  <c r="H47" s="1"/>
  <c r="F45"/>
  <c r="F43"/>
  <c r="F36"/>
  <c r="H36" s="1"/>
  <c r="F35"/>
  <c r="H35" s="1"/>
  <c r="F34"/>
  <c r="F33"/>
  <c r="H33" s="1"/>
  <c r="F32"/>
  <c r="H32" s="1"/>
  <c r="F29"/>
  <c r="F25"/>
  <c r="F24" s="1"/>
  <c r="F19"/>
  <c r="G19" s="1"/>
  <c r="D42" i="39"/>
  <c r="C42"/>
  <c r="E40"/>
  <c r="E39"/>
  <c r="E57" i="8"/>
  <c r="G156" i="33"/>
  <c r="G153" s="1"/>
  <c r="E118"/>
  <c r="E115" s="1"/>
  <c r="F109"/>
  <c r="H109" s="1"/>
  <c r="E69"/>
  <c r="E61" s="1"/>
  <c r="E113"/>
  <c r="E90" s="1"/>
  <c r="F113"/>
  <c r="H113" s="1"/>
  <c r="E51" i="39"/>
  <c r="E50"/>
  <c r="E49"/>
  <c r="E34"/>
  <c r="E32"/>
  <c r="E31"/>
  <c r="E26"/>
  <c r="E24"/>
  <c r="E22"/>
  <c r="E21"/>
  <c r="E20"/>
  <c r="E19"/>
  <c r="E18"/>
  <c r="E14"/>
  <c r="E13"/>
  <c r="E12"/>
  <c r="E11"/>
  <c r="E10"/>
  <c r="E9"/>
  <c r="E8"/>
  <c r="E7"/>
  <c r="E6"/>
  <c r="E5"/>
  <c r="E4"/>
  <c r="C17"/>
  <c r="C16"/>
  <c r="C27" s="1"/>
  <c r="F25" i="8"/>
  <c r="F23"/>
  <c r="G29" i="33"/>
  <c r="G28" s="1"/>
  <c r="F133"/>
  <c r="F118"/>
  <c r="F43"/>
  <c r="F69"/>
  <c r="H69" s="1"/>
  <c r="F57"/>
  <c r="H57" s="1"/>
  <c r="F32" i="38"/>
  <c r="F31"/>
  <c r="F30"/>
  <c r="F29"/>
  <c r="F28"/>
  <c r="F27"/>
  <c r="F26"/>
  <c r="F25"/>
  <c r="F22"/>
  <c r="F21"/>
  <c r="E20"/>
  <c r="E19" s="1"/>
  <c r="D20"/>
  <c r="D19" s="1"/>
  <c r="F17"/>
  <c r="F16"/>
  <c r="F15"/>
  <c r="F11"/>
  <c r="K17" i="23"/>
  <c r="F42" i="5"/>
  <c r="M89"/>
  <c r="M88" s="1"/>
  <c r="M92" s="1"/>
  <c r="L43"/>
  <c r="L42" s="1"/>
  <c r="L92" s="1"/>
  <c r="H18"/>
  <c r="G18"/>
  <c r="G92" s="1"/>
  <c r="F18"/>
  <c r="H34" l="1"/>
  <c r="H30" s="1"/>
  <c r="F30"/>
  <c r="F59"/>
  <c r="H60"/>
  <c r="H59" s="1"/>
  <c r="F75"/>
  <c r="H76"/>
  <c r="H75" s="1"/>
  <c r="F84"/>
  <c r="I85"/>
  <c r="I84" s="1"/>
  <c r="I92" s="1"/>
  <c r="H45"/>
  <c r="H44" s="1"/>
  <c r="F44"/>
  <c r="F69"/>
  <c r="H69"/>
  <c r="H29"/>
  <c r="H26" s="1"/>
  <c r="F26"/>
  <c r="H25"/>
  <c r="H24" s="1"/>
  <c r="F56"/>
  <c r="H49" i="33"/>
  <c r="F115"/>
  <c r="H115" s="1"/>
  <c r="H118"/>
  <c r="F61"/>
  <c r="H61" s="1"/>
  <c r="F19" i="38"/>
  <c r="F20"/>
  <c r="F13"/>
  <c r="E42" i="39"/>
  <c r="E35"/>
  <c r="E36"/>
  <c r="E37"/>
  <c r="E38"/>
  <c r="E46"/>
  <c r="D27"/>
  <c r="D48" s="1"/>
  <c r="E33"/>
  <c r="E27"/>
  <c r="G90" i="33"/>
  <c r="G196" s="1"/>
  <c r="C48" i="39"/>
  <c r="F55" i="5" l="1"/>
  <c r="F92" s="1"/>
  <c r="H56"/>
  <c r="H55" s="1"/>
  <c r="H92" s="1"/>
  <c r="D88"/>
  <c r="N88" s="1"/>
  <c r="D84"/>
  <c r="N84" s="1"/>
  <c r="E133" i="33"/>
  <c r="H133" s="1"/>
  <c r="I14" i="23" l="1"/>
  <c r="I20" s="1"/>
  <c r="H14" l="1"/>
  <c r="H20" s="1"/>
  <c r="J14"/>
  <c r="F174" i="33"/>
  <c r="E174"/>
  <c r="E169" s="1"/>
  <c r="F161"/>
  <c r="E161"/>
  <c r="F156"/>
  <c r="H156" s="1"/>
  <c r="E156"/>
  <c r="F154"/>
  <c r="H154" s="1"/>
  <c r="E154"/>
  <c r="F145"/>
  <c r="E145"/>
  <c r="E120"/>
  <c r="F90"/>
  <c r="H90" s="1"/>
  <c r="F88"/>
  <c r="H88" s="1"/>
  <c r="E88"/>
  <c r="F86"/>
  <c r="H86" s="1"/>
  <c r="E86"/>
  <c r="F84"/>
  <c r="H84" s="1"/>
  <c r="F82"/>
  <c r="H82" s="1"/>
  <c r="F78"/>
  <c r="E78"/>
  <c r="E71" s="1"/>
  <c r="F54"/>
  <c r="H54" s="1"/>
  <c r="E54"/>
  <c r="F47"/>
  <c r="H47" s="1"/>
  <c r="E47"/>
  <c r="E46" s="1"/>
  <c r="E43"/>
  <c r="H43" s="1"/>
  <c r="F41"/>
  <c r="E41"/>
  <c r="F39"/>
  <c r="E39"/>
  <c r="F29"/>
  <c r="E29"/>
  <c r="E16"/>
  <c r="H16" s="1"/>
  <c r="F12"/>
  <c r="E12"/>
  <c r="E11" s="1"/>
  <c r="H161" l="1"/>
  <c r="H29"/>
  <c r="H39"/>
  <c r="H41"/>
  <c r="F11"/>
  <c r="H12"/>
  <c r="F71"/>
  <c r="H71" s="1"/>
  <c r="H78"/>
  <c r="H145"/>
  <c r="F120"/>
  <c r="H120" s="1"/>
  <c r="F169"/>
  <c r="H169" s="1"/>
  <c r="H174"/>
  <c r="F46"/>
  <c r="H46" s="1"/>
  <c r="E153"/>
  <c r="K14" i="23"/>
  <c r="J20"/>
  <c r="F28" i="33"/>
  <c r="F153"/>
  <c r="H153" s="1"/>
  <c r="E81"/>
  <c r="E38"/>
  <c r="E28"/>
  <c r="F38"/>
  <c r="H38" s="1"/>
  <c r="F81"/>
  <c r="F196" l="1"/>
  <c r="H28"/>
  <c r="H81"/>
  <c r="E196"/>
  <c r="H11"/>
  <c r="H196" l="1"/>
  <c r="F19" i="8"/>
  <c r="E19"/>
  <c r="H58"/>
  <c r="H56"/>
  <c r="H50"/>
  <c r="H45"/>
  <c r="H39"/>
  <c r="H34"/>
  <c r="H32"/>
  <c r="H29"/>
  <c r="H26"/>
  <c r="H24"/>
  <c r="H21"/>
  <c r="H20"/>
  <c r="H15"/>
  <c r="E47"/>
  <c r="E46" s="1"/>
  <c r="F47"/>
  <c r="F46" s="1"/>
  <c r="F27"/>
  <c r="E27"/>
  <c r="E16"/>
  <c r="E13" s="1"/>
  <c r="F16"/>
  <c r="F13" s="1"/>
  <c r="E13" i="6"/>
  <c r="E15" s="1"/>
  <c r="H19" i="8" l="1"/>
  <c r="H47"/>
  <c r="H27"/>
  <c r="E42" i="5" l="1"/>
  <c r="E18"/>
  <c r="D69"/>
  <c r="N69" s="1"/>
  <c r="D18"/>
  <c r="N18" l="1"/>
  <c r="E92"/>
  <c r="K20" i="23"/>
  <c r="E38" i="22"/>
  <c r="E10"/>
  <c r="E73"/>
  <c r="D73"/>
  <c r="F70"/>
  <c r="F67"/>
  <c r="F66"/>
  <c r="F65"/>
  <c r="F62"/>
  <c r="F61"/>
  <c r="F57"/>
  <c r="F54"/>
  <c r="F53"/>
  <c r="F51"/>
  <c r="F45"/>
  <c r="D42"/>
  <c r="F41"/>
  <c r="F40"/>
  <c r="F39"/>
  <c r="F38"/>
  <c r="F37"/>
  <c r="F36"/>
  <c r="F35"/>
  <c r="F28"/>
  <c r="F26"/>
  <c r="F22"/>
  <c r="F21"/>
  <c r="F18" s="1"/>
  <c r="F16"/>
  <c r="F13" s="1"/>
  <c r="F11"/>
  <c r="F10"/>
  <c r="F9"/>
  <c r="F44" i="8"/>
  <c r="F55"/>
  <c r="F57"/>
  <c r="F18"/>
  <c r="F33"/>
  <c r="E44"/>
  <c r="E43" s="1"/>
  <c r="E55"/>
  <c r="E18"/>
  <c r="E23"/>
  <c r="E25"/>
  <c r="E33"/>
  <c r="E35"/>
  <c r="F14"/>
  <c r="E14"/>
  <c r="H13"/>
  <c r="G18" i="7"/>
  <c r="F17"/>
  <c r="F16" s="1"/>
  <c r="F19" s="1"/>
  <c r="E17"/>
  <c r="E16" s="1"/>
  <c r="E19" s="1"/>
  <c r="D30" i="5"/>
  <c r="N30" s="1"/>
  <c r="D42"/>
  <c r="N42" s="1"/>
  <c r="D26" i="1"/>
  <c r="N26" s="1"/>
  <c r="D11"/>
  <c r="N11" s="1"/>
  <c r="D13"/>
  <c r="N13" s="1"/>
  <c r="D19"/>
  <c r="N19" s="1"/>
  <c r="D22"/>
  <c r="N22" s="1"/>
  <c r="D24"/>
  <c r="N24" s="1"/>
  <c r="D29"/>
  <c r="N29" s="1"/>
  <c r="F13" i="6"/>
  <c r="F15" s="1"/>
  <c r="D13"/>
  <c r="D15" s="1"/>
  <c r="N14"/>
  <c r="F94" i="5" l="1"/>
  <c r="D92"/>
  <c r="N92" s="1"/>
  <c r="F50" i="22"/>
  <c r="D32" i="1"/>
  <c r="N32" s="1"/>
  <c r="H18" i="8"/>
  <c r="F60" i="22"/>
  <c r="F64"/>
  <c r="E30" i="8"/>
  <c r="N12" i="5"/>
  <c r="G17" i="7"/>
  <c r="H57" i="8"/>
  <c r="H55"/>
  <c r="H44"/>
  <c r="F35"/>
  <c r="H35" s="1"/>
  <c r="H36"/>
  <c r="F30"/>
  <c r="H33"/>
  <c r="H31"/>
  <c r="H25"/>
  <c r="H23"/>
  <c r="H14"/>
  <c r="F22"/>
  <c r="E22"/>
  <c r="N15" i="6"/>
  <c r="F54" i="8"/>
  <c r="E54"/>
  <c r="G16" i="7"/>
  <c r="F43" i="8"/>
  <c r="H43" s="1"/>
  <c r="N13" i="6"/>
  <c r="F59" i="8" l="1"/>
  <c r="H30"/>
  <c r="H46"/>
  <c r="H54"/>
  <c r="H22"/>
  <c r="E59"/>
  <c r="G19" i="7"/>
  <c r="H59" i="8" l="1"/>
</calcChain>
</file>

<file path=xl/sharedStrings.xml><?xml version="1.0" encoding="utf-8"?>
<sst xmlns="http://schemas.openxmlformats.org/spreadsheetml/2006/main" count="1423" uniqueCount="411">
  <si>
    <t>Dział</t>
  </si>
  <si>
    <t>Nazwa podziałki klasyfikacji budżetowej</t>
  </si>
  <si>
    <t>Prognozowane dochody budżetu</t>
  </si>
  <si>
    <t>Powiatu Białogardzkiego</t>
  </si>
  <si>
    <t>(ogółem)</t>
  </si>
  <si>
    <t>związane z realizacją zadań z zakresu administracji rządowej oraz innych zadań zleconych ustawami</t>
  </si>
  <si>
    <t>związane z realizacją zadań z zakresu administracji rządowej na podstawie porozumień z organami tej administracji</t>
  </si>
  <si>
    <t>Wydatki budżetu</t>
  </si>
  <si>
    <t>Rozdział</t>
  </si>
  <si>
    <t>Wydatki bieżące</t>
  </si>
  <si>
    <t>w tym</t>
  </si>
  <si>
    <t>Wydatki na obsługę długu</t>
  </si>
  <si>
    <t>Nazwa programu inwestycyjnego i zadania finansowanych z budżetu</t>
  </si>
  <si>
    <t>Jednostka organizacyjna realizująca program lub koordynująca wykonywanie programu</t>
  </si>
  <si>
    <t>Okres realizacji</t>
  </si>
  <si>
    <t>Rok rozpoczęcia</t>
  </si>
  <si>
    <t>Rok zakończenia</t>
  </si>
  <si>
    <t>Przychody</t>
  </si>
  <si>
    <t xml:space="preserve"> </t>
  </si>
  <si>
    <t>010</t>
  </si>
  <si>
    <t>020</t>
  </si>
  <si>
    <t>Podatek dochodowy od osób fizycznych</t>
  </si>
  <si>
    <t>0010</t>
  </si>
  <si>
    <t>Subwencje ogólne z budżetu państwa</t>
  </si>
  <si>
    <t>0420</t>
  </si>
  <si>
    <t>Wpływy z opłaty komunikacyjnej</t>
  </si>
  <si>
    <t>0470</t>
  </si>
  <si>
    <t>0750</t>
  </si>
  <si>
    <t>0770</t>
  </si>
  <si>
    <t>Wpływy z opłat za zarząd, użytkowanie i użytkowanie wieczyste nieruchomości</t>
  </si>
  <si>
    <t>Dotacje celowe otrzymane z budżetu państwa na zadania bieżące realizowane przez powiat na podstawie porozumień z organami administracji rządowej</t>
  </si>
  <si>
    <t>Dotacje celowe otrzymane z budżetu państwa na realizację bieżących zadań własnych powiatu</t>
  </si>
  <si>
    <t>Razem</t>
  </si>
  <si>
    <t>Rolnictwo i łowiectwo</t>
  </si>
  <si>
    <t>Leśnictwo</t>
  </si>
  <si>
    <t>Gospodarka mieszkaniowa</t>
  </si>
  <si>
    <t>Działalność usługowa</t>
  </si>
  <si>
    <t>Administracja publiczna</t>
  </si>
  <si>
    <t>Bezpieczeństwo publiczne i ochrona przeciwpożarowa</t>
  </si>
  <si>
    <t>Różne rozliczenia</t>
  </si>
  <si>
    <t>Ochrona zdrowia</t>
  </si>
  <si>
    <t>Pomoc społeczna</t>
  </si>
  <si>
    <t>Pozostałe zadania w zakresie polityki społecznej</t>
  </si>
  <si>
    <t>0690</t>
  </si>
  <si>
    <t>Wpływy z różnych opłat</t>
  </si>
  <si>
    <t>Drogi publiczne powiatowe</t>
  </si>
  <si>
    <t>Komendy powiatowe Państwowej Straży Pożarnej</t>
  </si>
  <si>
    <t>Szkoły podstawowe specjalne</t>
  </si>
  <si>
    <t>Licea profilowane</t>
  </si>
  <si>
    <t>Szkoły zawodowe</t>
  </si>
  <si>
    <t>Poradnie psychologiczno-pedagogiczne</t>
  </si>
  <si>
    <t>Placówki wychowania pozaszkolnego</t>
  </si>
  <si>
    <t>Internaty i bursy szkolne</t>
  </si>
  <si>
    <t>Licea ogólnokształcące</t>
  </si>
  <si>
    <t>01005</t>
  </si>
  <si>
    <t>0920</t>
  </si>
  <si>
    <t>Obrona narodowa</t>
  </si>
  <si>
    <t>Pozostałe wydatki obronne</t>
  </si>
  <si>
    <t>0020</t>
  </si>
  <si>
    <t>Podatek dochodowy od osób prawnych</t>
  </si>
  <si>
    <t>Oświata i wychowanie</t>
  </si>
  <si>
    <t>0830</t>
  </si>
  <si>
    <t>0970</t>
  </si>
  <si>
    <t>Wpływy z usług</t>
  </si>
  <si>
    <t>Wpływy z różnych dochodów</t>
  </si>
  <si>
    <t>Pozostałe odsetki</t>
  </si>
  <si>
    <t>Wpłaty z tytułu odpłatnego nabycia prawa własności  oraz prawa użytkowania wieczystego nieruchomości</t>
  </si>
  <si>
    <t>Dochody od osób prawnych, od osób fizycznych i od innych jednostek nieposiadających osobowości prawnej oraz wydatki związane z ich poborem</t>
  </si>
  <si>
    <t>Rozdz.</t>
  </si>
  <si>
    <t>§</t>
  </si>
  <si>
    <t>Prace geodezyjno-urządzeniowe na potrzeby rolnictwa</t>
  </si>
  <si>
    <t>Dot.cel.otrzymane z budżetu państwa na zad. bieżące z zakresu adm. rządowej oraz inne zad. zlecone ustawami realiz.przez powiat</t>
  </si>
  <si>
    <t>02001</t>
  </si>
  <si>
    <t>Gospodarka leśna</t>
  </si>
  <si>
    <t>Środki otrzymane od pozost. jednostek zalicz. do sektora fin. publ. na realizację zadań bieżących jedn. zaliczanych do sektora finansów publ.</t>
  </si>
  <si>
    <t>Transport i łączność</t>
  </si>
  <si>
    <t>Gospodarka gruntami i nieruchomościami</t>
  </si>
  <si>
    <t>Prace geodezyjne i kartograficzne</t>
  </si>
  <si>
    <t>Opracowania geodezyjne i kartograficzne</t>
  </si>
  <si>
    <t>Nadzór budowlany</t>
  </si>
  <si>
    <t>Pozostała działalność</t>
  </si>
  <si>
    <t>Dotacje otrzymane z funduszy celowych na realizację zadań bieżących jednostek sektora finansów publicznych</t>
  </si>
  <si>
    <t>Urzędy wojewódzkie</t>
  </si>
  <si>
    <t>Starostwa powiatowe</t>
  </si>
  <si>
    <t>Komisje poborowe</t>
  </si>
  <si>
    <t>Obrona cywilna</t>
  </si>
  <si>
    <t>Udziały powiatów w podatkach stanowiących dochód budżetu państwa</t>
  </si>
  <si>
    <t>Część oświatowa subwencji ogólnej dla jednostek samorządu terytorialnego</t>
  </si>
  <si>
    <t>Część wyrównawcza subwencji ogólnej dla powiatów</t>
  </si>
  <si>
    <t>Różne rozliczenia finansowe</t>
  </si>
  <si>
    <t>Część równoważąca subwencji ogólnej dla powiatów</t>
  </si>
  <si>
    <t>Dokształcanie i doskonalenie nauczycieli</t>
  </si>
  <si>
    <t>Szpitale ogólne</t>
  </si>
  <si>
    <t>Przeciwdziałanie alkoholizmowi</t>
  </si>
  <si>
    <t>Składki na ubezpieczenie zdrowotne oraz świadczenia dla osób nieobjętych obowiązkiem ubezpieczenia zdrowotnego</t>
  </si>
  <si>
    <t>Placówki opiekuńczo-wychowawcze</t>
  </si>
  <si>
    <t>Domy pomocy społecznej</t>
  </si>
  <si>
    <t>Ośrodki wsparcia</t>
  </si>
  <si>
    <t>Zasiłki rodzinne, pielęgnacyjne i wychowawcze</t>
  </si>
  <si>
    <t>Powiatowe centra pomocy rodzinie</t>
  </si>
  <si>
    <t>Zespoły do spraw orzekania o niepełnospr.</t>
  </si>
  <si>
    <t>Powiatowe urzędy pracy</t>
  </si>
  <si>
    <t>Edukacyjna opieka wychowawcza</t>
  </si>
  <si>
    <t>Poradnie psychologiczno-pedagogiczne, w tym poradnie specjalistyczne</t>
  </si>
  <si>
    <t>Pomoc materialna dla uczniów</t>
  </si>
  <si>
    <t>Kultura fizyczna i sport</t>
  </si>
  <si>
    <t>Zadania w zakresie kultury fizycznej i sportu</t>
  </si>
  <si>
    <t>0960</t>
  </si>
  <si>
    <t>02002</t>
  </si>
  <si>
    <t>Nadzór nad gospodarką leśną</t>
  </si>
  <si>
    <t>Działalnośc usługowa</t>
  </si>
  <si>
    <t>Prace geodezyjne i urządzeniowe</t>
  </si>
  <si>
    <t>Rady powiatów</t>
  </si>
  <si>
    <t>Bezpieczeństwo publ. i ochr.przeciwpoż.</t>
  </si>
  <si>
    <t>Komendy wojewódzkie policji</t>
  </si>
  <si>
    <t>Komendy powiat. Państwowej Straży Pożarnej</t>
  </si>
  <si>
    <t>Obsługa długu publicznego</t>
  </si>
  <si>
    <t>Obsługa papierów wartościowychj, kredytów i pożyczek j.s.t</t>
  </si>
  <si>
    <t>Gimnazja specjalne</t>
  </si>
  <si>
    <t>Szkoły zawodowe specjalne</t>
  </si>
  <si>
    <t>Rodziny zastępcze</t>
  </si>
  <si>
    <t>Świadczenia rodzinne oraz składki na ubezpieczenie emerytalne i rentowe z ubezpieczenia społecznego</t>
  </si>
  <si>
    <t>Pozost. zad.w zakresie polityki społecznej</t>
  </si>
  <si>
    <t>Zespoły ds.orzekania o niepełnospr.</t>
  </si>
  <si>
    <t>Kultura i ochrona dziedzictwa narodowego</t>
  </si>
  <si>
    <t>Pozostałe zadania w zakresie kultury</t>
  </si>
  <si>
    <t>Młodzieżowe osrodki wychowawcze</t>
  </si>
  <si>
    <t>01008</t>
  </si>
  <si>
    <t>Melioracje wodne</t>
  </si>
  <si>
    <t>Pomoc materialna dla studentów</t>
  </si>
  <si>
    <t>RAZEM</t>
  </si>
  <si>
    <t>% wykonania do planu</t>
  </si>
  <si>
    <t>Pomoc dla repatriantów</t>
  </si>
  <si>
    <t>Kolonie i obozy oraz inne formy wypoczynku dzieci i młodzieży szkolnej, a także szkol.młodzieży</t>
  </si>
  <si>
    <t>Wykonanie</t>
  </si>
  <si>
    <t>% wykonania</t>
  </si>
  <si>
    <t>0570</t>
  </si>
  <si>
    <t>Młodzieżowe ośrodki wychowawcze</t>
  </si>
  <si>
    <t>Dochody jednostek samorządu terytorialnego związane z realizacją zadań z zakr.admin. rzadowej oraz innych zadań zleconych ustawami</t>
  </si>
  <si>
    <t>Dochody z najmu i dierżawy składników majątkowych Skarbu Państwa, jednostek samorz.teryt. lub innych jednostek zaliczanych do s. f.p. oraz innych umów o podobnym charakterze</t>
  </si>
  <si>
    <t>Dotacje celowe o trzymane z gminy na zadania bieżące realizaowane na podstawie porozumień (umów) między jedn.samorz.terytor.</t>
  </si>
  <si>
    <t>Wpływy ze zwrotów dotacji wykorzystanych niezgodnie z przeznaczeniem lub pobranych w nadmiernej wysokości</t>
  </si>
  <si>
    <t>Dotacje celowe otrzymane z powiatu na zadania bieżące realizowane  na podstawie porozumień (umów) między jedn. samorz. teryt.</t>
  </si>
  <si>
    <t>Plan</t>
  </si>
  <si>
    <t>%</t>
  </si>
  <si>
    <t>Dotacje otrzymane z funduszy celowych na realizację zadań bieżących dla jednostek sektora finansów publicznych</t>
  </si>
  <si>
    <t>Gospodarka komunalna i ochrona środowiska</t>
  </si>
  <si>
    <t>700</t>
  </si>
  <si>
    <t>710</t>
  </si>
  <si>
    <t>750</t>
  </si>
  <si>
    <t>Promocja jednostek samorządu terytorialnego</t>
  </si>
  <si>
    <t>Wydatki Powiatu Białogardzkiego</t>
  </si>
  <si>
    <t>Powiatowe Centrum Pomocy Rodzinie</t>
  </si>
  <si>
    <t>Powiatowy Urząd Pracy</t>
  </si>
  <si>
    <t xml:space="preserve">         w zł</t>
  </si>
  <si>
    <t xml:space="preserve">           w zł</t>
  </si>
  <si>
    <t xml:space="preserve">              w zł</t>
  </si>
  <si>
    <t>Obsługa papierów wartościowych, kredytów i pożyczek j.s.t</t>
  </si>
  <si>
    <t>na programy i projekty realizowane ze środków przedakcesyjnych, funduszy strukturalnych, Funduszu Spójności</t>
  </si>
  <si>
    <t xml:space="preserve">        w zł</t>
  </si>
  <si>
    <t>0680</t>
  </si>
  <si>
    <t xml:space="preserve"> z tego: </t>
  </si>
  <si>
    <t>Wydatki majątkowe</t>
  </si>
  <si>
    <t xml:space="preserve"> z tego :</t>
  </si>
  <si>
    <t>Nazwa programu  i zadania finansowanych z budżetu</t>
  </si>
  <si>
    <t xml:space="preserve">Plan </t>
  </si>
  <si>
    <t xml:space="preserve">Wykonanie </t>
  </si>
  <si>
    <t>Przetwórstwo przemysłowe</t>
  </si>
  <si>
    <t>Rozwój przedsiebiorczości</t>
  </si>
  <si>
    <t>Ośrodki rewalidacyjno-wychowawcze</t>
  </si>
  <si>
    <t>Obiekty sportowe</t>
  </si>
  <si>
    <t>Rehabilitacja zawodowa i społ. osób niepełnosprawnych</t>
  </si>
  <si>
    <t xml:space="preserve">Dotacje celowe otrzymane z budżetu państwa na realizację bieżących zadań własnych powiatu </t>
  </si>
  <si>
    <t>Otrzymane spadki, zapisy i darowizny w postaci pieniężnej</t>
  </si>
  <si>
    <t>Wpływy od rodziców z tytułu odpłatności za utrzymanie dzieci (wychowanków) w placówkach opiekuńczo-wychowawczych</t>
  </si>
  <si>
    <t>Treść</t>
  </si>
  <si>
    <t>Plan po zmianach</t>
  </si>
  <si>
    <t>razem</t>
  </si>
  <si>
    <t>Grzywny, mandaty i inne kary pienieżne od osób fizycznych</t>
  </si>
  <si>
    <t>Ogółem</t>
  </si>
  <si>
    <t>Kwota dotacji</t>
  </si>
  <si>
    <t>Prywatne Studium SCHOLAR</t>
  </si>
  <si>
    <t>Prywatne Liceum Profilowane SCHOLAR (dla młodzieży)</t>
  </si>
  <si>
    <t>Prywatne Policealne Studium Zawodowe</t>
  </si>
  <si>
    <t>w zł</t>
  </si>
  <si>
    <t>Dochody z najmu i dzierżawy składników majątkowych Skarbu Państwa, jednostek samorz.teryt. lub innych jednostek zaliczanych do s. f.p. oraz innych umów o podobnym charakterze</t>
  </si>
  <si>
    <t>Zakup usług pozostałych</t>
  </si>
  <si>
    <t>Koszty postepowania sądowego i prokuratorskiego</t>
  </si>
  <si>
    <t>Składki na ubezpieczenia społeczne</t>
  </si>
  <si>
    <t>Wynagrodzenia bezosobowe</t>
  </si>
  <si>
    <t>Zakup materiałów i wyposażenia</t>
  </si>
  <si>
    <t>Zakup usług remontowych</t>
  </si>
  <si>
    <t>Szkolenia pracowników niebedących członkami korpusu służby cywilnej</t>
  </si>
  <si>
    <t>Składki na Fundusz Pracy</t>
  </si>
  <si>
    <t>ZSP Białogard</t>
  </si>
  <si>
    <t>ZSP Tychowo</t>
  </si>
  <si>
    <t>ZSP Karlino</t>
  </si>
  <si>
    <t>Starostwo Powiatowe</t>
  </si>
  <si>
    <t>Środki pochodzące z budżetu Unii Europejskiej przeznaczone na finansowanie programów i projektów realizowanych przez jednostki finansów publicznych</t>
  </si>
  <si>
    <t>Zarządzanie kryzysowe</t>
  </si>
  <si>
    <t>Wpływy z innych opłat stanowiących dochody jednostek samorządu terytorialnego na podstawie ustaw</t>
  </si>
  <si>
    <t>0490</t>
  </si>
  <si>
    <t>Wpływyz innych lokalnych opłat pobieranych przez jednostki samorządu terytorialnego na podstawie odrenych ustaw</t>
  </si>
  <si>
    <t>Środki na dofinansowanie własnych zadań bieżących gmin , powiatów, samorządów województw, pozyskane z innych źródeł</t>
  </si>
  <si>
    <t>Centra kształcenia ustawicznego i praktyczego oraz ośrodki dokształcania zawodowego</t>
  </si>
  <si>
    <t>Wpływy z tytułu pomocy finansowej udzielanej między jednostkami samorządu terytorialnego na dofinansowanie własnych zadań bieżących</t>
  </si>
  <si>
    <t>Dotacje otrzymane z funduszy celowych na finansowanie lub dofinansowanie kosztów realizacji inwestycji i zakupów inwestycyjnych jednostek sektora finansów publicznych</t>
  </si>
  <si>
    <t>Ochotnicze straże pożarne</t>
  </si>
  <si>
    <t>Centra kształcenia ustawicznegi i praktycznego</t>
  </si>
  <si>
    <t>Stołówki szkolne</t>
  </si>
  <si>
    <t>Biblioteki</t>
  </si>
  <si>
    <t>Przebudowa i modernizacja szpitala po byłych Jednostkach Armii Radzieckiej na Centrum Rehabilitacji z Oddziałami Szpitala Rejonowego w Białogardzie</t>
  </si>
  <si>
    <t>Poprawa dostępu do zatrudnienia oraz wspieranie aktywności zawodowej w regionach w ramach Programu, Podziałanie 6.1.2 :Doradca zawodowy i pośrednik pracy w standardach unijnych"</t>
  </si>
  <si>
    <t>Rynek otwarty dla wszystkich</t>
  </si>
  <si>
    <t>Rozwój i upowszechnianie aktywnej integracji przez powiatowe centra pomocy rodzinie oraz osrodki pomocy społecznej</t>
  </si>
  <si>
    <t>Rodzina razem</t>
  </si>
  <si>
    <t>Nazwa</t>
  </si>
  <si>
    <t>Lp.</t>
  </si>
  <si>
    <t>Warsztaty Terapii Zajęciowej SZANSA w Białogardzie</t>
  </si>
  <si>
    <t>Ośrodek Rehabilitacyjno-Edukacyjno-Wychowawczy w Kowalkach</t>
  </si>
  <si>
    <r>
      <t>Wykonanie dotacji podmiotowych
udzielone z budżetu Gminy/Powiatu</t>
    </r>
    <r>
      <rPr>
        <sz val="12"/>
        <rFont val="Times New (W1)"/>
        <family val="1"/>
      </rPr>
      <t xml:space="preserve"> ..............................
</t>
    </r>
    <r>
      <rPr>
        <b/>
        <sz val="12"/>
        <rFont val="Times New (W1)"/>
        <family val="1"/>
      </rPr>
      <t>w 2008 r.</t>
    </r>
  </si>
  <si>
    <t xml:space="preserve">udzielonych z budżetu Powiatu Białogardzkiego </t>
  </si>
  <si>
    <t>na zadania własne powiatu realizowane przez podmioty</t>
  </si>
  <si>
    <t>Nazwa zadania</t>
  </si>
  <si>
    <t>Dotacje dla innych powiatów na pokrycie kosztów utrzymania dzieci w z Powiatu Białogardzkiego w rodzianch zastępczych</t>
  </si>
  <si>
    <t xml:space="preserve">należące do sektora finansów publicznych </t>
  </si>
  <si>
    <t>Wpłaty Powiatu Białogardzkiego</t>
  </si>
  <si>
    <t>na wyodrębnione fundusze celowe</t>
  </si>
  <si>
    <t>Fundusz celowy</t>
  </si>
  <si>
    <t>Łączne poniesione nakłady finansowe</t>
  </si>
  <si>
    <t xml:space="preserve">Plan przychodów i wydatków </t>
  </si>
  <si>
    <t>I</t>
  </si>
  <si>
    <t>x</t>
  </si>
  <si>
    <t>Stan funduszu na poczatek roku</t>
  </si>
  <si>
    <t>II</t>
  </si>
  <si>
    <t>1.</t>
  </si>
  <si>
    <t xml:space="preserve">III </t>
  </si>
  <si>
    <t>Wydatki ogółem</t>
  </si>
  <si>
    <t>IV</t>
  </si>
  <si>
    <t>Stan funduszu na koniec roku</t>
  </si>
  <si>
    <t xml:space="preserve">Powiatu Białogardzkiego </t>
  </si>
  <si>
    <t>Powiatowego Funduszu Gospodarki Zasobem Geodezyjnym i Kartograficznym</t>
  </si>
  <si>
    <t>Dział   710  Rozdział   71030</t>
  </si>
  <si>
    <t>Wyszczególnienie</t>
  </si>
  <si>
    <t>2.</t>
  </si>
  <si>
    <t>3.</t>
  </si>
  <si>
    <t>Przelewy redystrybucyjne</t>
  </si>
  <si>
    <t>Dotacje przekazane z funduszy celowych na realizację zadań bieżących dla jednostek sektora finansów publicznych</t>
  </si>
  <si>
    <t>Zakup materiałów papirniczych do sprzetu drukarskiego i urzadzeń kserograficznych</t>
  </si>
  <si>
    <t>Zakupo akcesoriów komputerowych, w tym programów i licencji</t>
  </si>
  <si>
    <t>0910</t>
  </si>
  <si>
    <t>Zarząd Dróg Powiatowych</t>
  </si>
  <si>
    <t>0870</t>
  </si>
  <si>
    <t>0900</t>
  </si>
  <si>
    <t>2910</t>
  </si>
  <si>
    <t>Odsetki od nieterminowych wpłat z tytułu podatków i opłat</t>
  </si>
  <si>
    <t>Środki na dofinansowanie własnych zadań bieżących gmin, powiatów, samorządów województw, pozyskane z innych źródeł</t>
  </si>
  <si>
    <t>Wpływy ze sprzedaży składników majątkowych</t>
  </si>
  <si>
    <t>Odsetki od dotacji wykorzystanych niezgodnie z przeznaczeniem lub pobranych w nadmiernej wysokości</t>
  </si>
  <si>
    <t>Dochody bieżące</t>
  </si>
  <si>
    <t>Dochody majątkowe</t>
  </si>
  <si>
    <t>Wykonanie- dochody bieżące</t>
  </si>
  <si>
    <t>Dotacje rozwojowe oraz środki na finansowanie Wspólnej Polityki Rolnej</t>
  </si>
  <si>
    <t xml:space="preserve">§ </t>
  </si>
  <si>
    <t>Załącznik Nr 19</t>
  </si>
  <si>
    <t>w I półroczu 2009 roku</t>
  </si>
  <si>
    <t>Dotacje celowe otrzymane z budżetu państwa na realizacje inwestycji i zakupów inwestycyjnych własnych powiatu</t>
  </si>
  <si>
    <t>Ośrodki adopcyjno-opiekuńcze</t>
  </si>
  <si>
    <t>Dotacja celowa otrzymana przez jednostkę samorządu terytorialnego od innej jednostki samorządu terytorialnego bedącej instytucja wdrażającą na zadania bieżące realizowane na podstawie porozumień (umów)</t>
  </si>
  <si>
    <t>01095</t>
  </si>
  <si>
    <t>Drogi publiczne gminne</t>
  </si>
  <si>
    <t>Straż Graniczna</t>
  </si>
  <si>
    <t>Inne formy kształcenia osobno niewymienione</t>
  </si>
  <si>
    <t>Parki krajobrazowe</t>
  </si>
  <si>
    <t>Niepubliczna Szkoła Specjalna Przysposabiająca do Pracy w Kowalkach</t>
  </si>
  <si>
    <t>4.</t>
  </si>
  <si>
    <t>5.</t>
  </si>
  <si>
    <t>6.</t>
  </si>
  <si>
    <t>7.</t>
  </si>
  <si>
    <t>8.</t>
  </si>
  <si>
    <t>Wydatki na zakupy inwestycyjne funduszy celowych</t>
  </si>
  <si>
    <t>w tym w 2009r.</t>
  </si>
  <si>
    <t>i innych środków Unii Eurpejskiej w 2009 roku</t>
  </si>
  <si>
    <t>Nazwa projektu</t>
  </si>
  <si>
    <t>Stypendia EFS szansą edukacyjną dla młodzieży wiejskiej w powiecie białogardzkim, nr projektu Z/2.32/II/2.2/6/09</t>
  </si>
  <si>
    <t>Wyrównywanie szans edukacyjnych poprzez programy stypendialen</t>
  </si>
  <si>
    <t>Rok 2009</t>
  </si>
  <si>
    <t>Przebudowa drogi powiatowej nr 0257 Z Gościno-Karlino - I etap Pobłocie Wielkie-Kowańcz</t>
  </si>
  <si>
    <t>Przebudowa drogi powiatowej nr 1172Z obiekt ulica Piłsudskiego i Zwyciestwa</t>
  </si>
  <si>
    <t>Termomodernizacja obiektów użyteczności publicznej</t>
  </si>
  <si>
    <t>Powiatowe Urzędy Pracy</t>
  </si>
  <si>
    <t>Licea ogólnokształcace</t>
  </si>
  <si>
    <t>Projekt modelowy w celu stworzenia polsko-niemieckiej sieci ogrodów</t>
  </si>
  <si>
    <t>Przebudowa drogi powiatowej nr 1182Z od drogi wojewódzkiej ne 167 - Doble</t>
  </si>
  <si>
    <t>Limity wydatków budżetowych na wieloletnie programy inwestycyjne</t>
  </si>
  <si>
    <t>Załącznik nr 20</t>
  </si>
  <si>
    <t>Wpływy z innych lokalnych opłat pobieranych przez jednostki samorządu terytorialnego na podstawie odrenych ustaw</t>
  </si>
  <si>
    <t>Dotacje celowe w ramach programów finansowanych z udziałem środków europejskich oraz środków, o których mowa w art.. 5 ust. 1 pkt 3 oraz ust. 3 pkt 5 i 6 ustwawy, lub płatności w ramach budżetu środków europejskich</t>
  </si>
  <si>
    <t>Wpływy ze zwrotów dotacji oraz płatności, w tym wykorzystanych niezgodnie z przeznaczeniem lub wykorzystanych z naruszeniem procedur, o których mowa w art.. 184 ustawy, pobranych nienależnie lub w nadmiernej wysokości</t>
  </si>
  <si>
    <t>Dotacje celowe otrzymane z powatu na inwestycje i zakupy inwestycyjne realizowane na podstawie porozumień między jednostkami samorządu terytorialnego</t>
  </si>
  <si>
    <t>Wpływy z tytułu pomocy finansowej udzielanej między jednostkami samorządu terytorialnego na dofinansowanie własnych zadań inwestycyjnych i zakupów inwestycyjnych</t>
  </si>
  <si>
    <t>Dot.cel.otrzymane z budżetu państwa na inwestycje i zakupy inwestycyjne z zakresu adm. rządowej oraz inne zad. zlecone ustawami realiz.przez powiat</t>
  </si>
  <si>
    <t>Dotacje otrzymane z państwowych funduszy celowych na finansowanie lub dofinansowanie kosztów realizacji inwestycji i zakupów inwestycyjnych jednostek sektora finansów publicznych</t>
  </si>
  <si>
    <t>Dotacje celowe otrzymane z budżetu państwa na realizację inwestycji i zakupów inwestycyjnych własnych powiatu</t>
  </si>
  <si>
    <t>Wpływy i wydatki związane z gromadzeniem środków z opłat i kar za korzystanie ze środowiska</t>
  </si>
  <si>
    <t>Zadania w zakresie przeciwdziałania przemocy w rodzinie</t>
  </si>
  <si>
    <t>w I półroczu 2010 roku</t>
  </si>
  <si>
    <t>Wynagrodzenia i składki od nich naliczane</t>
  </si>
  <si>
    <t>Dotacje na zadania bieżące</t>
  </si>
  <si>
    <t>Świadczenia na rzezc osób fizycznych</t>
  </si>
  <si>
    <t>Wydatki na programy finansowane z udziałem środków, o których mowa w art.. 5 ust.1 pkt 2i 3 ustawy o fin.publ., w części zwiazanej z realizacją zadań</t>
  </si>
  <si>
    <t>Wydatki związane z realizacją zadań statutowych</t>
  </si>
  <si>
    <t>Plan na 2010r.</t>
  </si>
  <si>
    <t>dochody bieżące</t>
  </si>
  <si>
    <t>dochody majątkowe</t>
  </si>
  <si>
    <t>w I półroczu  2010 roku</t>
  </si>
  <si>
    <t xml:space="preserve">Przychody i rozchody 
</t>
  </si>
  <si>
    <t>budżetu Powiatu Białogardzkiego</t>
  </si>
  <si>
    <t>w 2010 r.</t>
  </si>
  <si>
    <t>Klasyfikacja
§</t>
  </si>
  <si>
    <t>Przychody ogółem:</t>
  </si>
  <si>
    <t>Kredyty</t>
  </si>
  <si>
    <t>§ 952</t>
  </si>
  <si>
    <t>Pożyczki</t>
  </si>
  <si>
    <t>§ 903</t>
  </si>
  <si>
    <t>Spłaty pożyczek udzielonych</t>
  </si>
  <si>
    <t>§ 951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</si>
  <si>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</si>
  <si>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</si>
  <si>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</si>
  <si>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</si>
  <si>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</si>
  <si>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</si>
  <si>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</si>
  <si>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</si>
  <si>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</si>
  <si>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</si>
  <si>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</si>
  <si>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</si>
  <si>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</si>
  <si>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</si>
  <si>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</si>
  <si>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</si>
  <si>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</si>
  <si>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</si>
  <si>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</si>
  <si>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</si>
  <si>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</si>
  <si>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</si>
  <si>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Pożyczki na finansowanie zadań realizowanych z udziałem środków pochodzących z budżetu UE</t>
  </si>
  <si>
    <t>Realizacja</t>
  </si>
  <si>
    <t>ZSS</t>
  </si>
  <si>
    <t>MOW</t>
  </si>
  <si>
    <t>LO</t>
  </si>
  <si>
    <t>Tabela Nr 1</t>
  </si>
  <si>
    <t>Tabela Nr 3</t>
  </si>
  <si>
    <t>Tabela Nr 2</t>
  </si>
  <si>
    <t>Tabela Nr 4</t>
  </si>
  <si>
    <t>Według działów i rozdziałów klasyfikacji oraz ważniejszych źródeł:</t>
  </si>
  <si>
    <t>Infrastruktura kolejowa</t>
  </si>
  <si>
    <t>Nazwa instytucji lub zadania</t>
  </si>
  <si>
    <t>Prywatne Liceum Ogólnokształcące SCHOLAR dla Dorosłych po ZSZ</t>
  </si>
  <si>
    <t>Prywatne Liceum Ogólnokształcące SCHOLAR dla Dorosłych</t>
  </si>
  <si>
    <t>Prywatne Liceum Ogólnokształcące SCHOLAR - dla młodzieży</t>
  </si>
  <si>
    <t>Prywatne Liceum Ogólnokształcące dla Dorosłych</t>
  </si>
  <si>
    <t>Prywatne Uzupełniające Liceum Ogólnokształcące dla Dorosłych</t>
  </si>
  <si>
    <t>Prywatne Liceum Profilowane SCHOLAR dla Dorosłych</t>
  </si>
  <si>
    <t>Dotacja na roboty budowlane, remonty, modernizacje, konserwacje obiektów znajdujących się w ewidencjach zabytków lub wpisanych do rejestrów zabytków</t>
  </si>
  <si>
    <t>Wsparcie finansowe rozwoju sportu kwalifikowanego</t>
  </si>
  <si>
    <t xml:space="preserve"> Dotacje  celowe udzielone z budżetu Powiatu Białogardzkiego</t>
  </si>
  <si>
    <t>Warsztaty Terapii Zajęciowej ISKIERKA w Karlinie</t>
  </si>
  <si>
    <t>Biblioteka Powiatowa</t>
  </si>
  <si>
    <t>Wspólna organizacja  z Gminą Karlino imprez kulturalnych</t>
  </si>
  <si>
    <t>2317, 2319</t>
  </si>
  <si>
    <t>Rodzina Razem - Miasto Białogard</t>
  </si>
  <si>
    <t>Rodzina Razem - Gmina Białogard</t>
  </si>
  <si>
    <t>Rodzina razem - Gmina Tychowo</t>
  </si>
  <si>
    <t>Rodzina Razem - Gmina Karlino</t>
  </si>
  <si>
    <t>Kwota przekazana</t>
  </si>
  <si>
    <t>Planowana dotacja</t>
  </si>
  <si>
    <t>Tabela Nr 5</t>
  </si>
  <si>
    <t>Dotacje dla innych powiatów na pokrycie kosztów utrzymania dzieci z Powiatu Białogardzkiego w placówkach opiekuńczo-wychowawczych</t>
  </si>
  <si>
    <t>Tabela Nr 6</t>
  </si>
  <si>
    <t>Szpital Powiatowy</t>
  </si>
  <si>
    <t>w I półroczu 2010 r.</t>
  </si>
  <si>
    <t>Fundusz Wsparcia Morskiego Oddziału Straży Granicznej</t>
  </si>
  <si>
    <t>Dofinansowanie zakupu paliwa do pojazdów służbowych</t>
  </si>
  <si>
    <t>Tabela Nr 8</t>
  </si>
  <si>
    <t>Dotacje celowe</t>
  </si>
  <si>
    <t>udzielone z budżetu Powiatu Białogardzkiego</t>
  </si>
  <si>
    <t>Dotacja dla Stowarzyszenia "SOS Wioski Dziecięce" w Karlinie na prowadzenie placówki opiekuńczo-wychowawczej</t>
  </si>
  <si>
    <t>Prowadzenie Domu Pomocy Społecznej w Białogardzie o zasięgu ponadgminnym (powiatowym) dla osób w podeszłym wieku i osób przewlekle somatycznie chorych - dotacja dla Stowarzyszenia Pomocy PRZYTULISKO w Białogardzie</t>
  </si>
  <si>
    <t>Upowszechnianie kultury fizycznej i sportu realizowane poprzez organizację imprez sportowych dla dzieci i młodzieży w Powiecie Białogardzkim</t>
  </si>
  <si>
    <t>Tabela Nr 7</t>
  </si>
  <si>
    <t>Tabela Nr 9</t>
  </si>
  <si>
    <t>Pomoc finansowa dla Gminy Tychowo na zadanie pn.  "Przebudowa gminnych dróg dojazdowych do drogi wojewódzkiej nr 167 i drogi powiatowej 1180Z, w tym przebudowa drogi dojazdowej (działka nr 204,208 i 209) do drogi wojewódzkiej nr 167 i drogi powiatowej  1180 Z z miejscowości Sadkowo i przebudowa gminnej drogi dojazdowej (działka nr 272 i 273) do drogi wojewódzkiej nr 167 z miejscowości Rudno"</t>
  </si>
  <si>
    <t>Pomoc finansowa dla Gminy Karlino na zadanie p.n. "Przebudowa oraz remont dróg gminnych wraz z infrastrukturą techniczną w Karlinie - etap II</t>
  </si>
  <si>
    <t>Pomoc finansowa dla Gminy Białogard na zadania związane z działalnością ochotniczych straży pożarnych</t>
  </si>
  <si>
    <t>Pomoc finansowa dla PowiatuWałeckiego na organizację obozu sportowego dla młodzieży</t>
  </si>
  <si>
    <t>Pomoc finansowa dla Gminy Karlino na zadanie p.n. "Budowa hali widowiskowo-sportowej w Karlinie"</t>
  </si>
  <si>
    <t>Tabela Nr 10</t>
  </si>
  <si>
    <t>na zadania inwestycyjne jednostek</t>
  </si>
  <si>
    <t>Dotacja dla Polskich Linii Kolejowych SA na dofinansowanie przebudowy przejazdu kolejowego</t>
  </si>
  <si>
    <t xml:space="preserve">nienależące do sektora finansów publicznych </t>
  </si>
  <si>
    <t xml:space="preserve">nienależących do sektora finansów publicznych </t>
  </si>
  <si>
    <t xml:space="preserve">na pomoc finansową innym jednostkom samorządu terytorialnego </t>
  </si>
  <si>
    <t>Tabela Nr 11</t>
  </si>
  <si>
    <t>Tabela Nr 12</t>
  </si>
  <si>
    <t>Tabela Nr 13</t>
  </si>
  <si>
    <t>Kwalifikacja wojskowa</t>
  </si>
  <si>
    <t>Tabela Nr 14</t>
  </si>
</sst>
</file>

<file path=xl/styles.xml><?xml version="1.0" encoding="utf-8"?>
<styleSheet xmlns="http://schemas.openxmlformats.org/spreadsheetml/2006/main">
  <numFmts count="7">
    <numFmt numFmtId="43" formatCode="_-* #,##0.00\ _z_ł_-;\-* #,##0.00\ _z_ł_-;_-* &quot;-&quot;??\ _z_ł_-;_-@_-"/>
    <numFmt numFmtId="164" formatCode="_-* #,##0.0\ _z_ł_-;\-* #,##0.0\ _z_ł_-;_-* &quot;-&quot;??\ _z_ł_-;_-@_-"/>
    <numFmt numFmtId="165" formatCode="_-* #,##0\ _z_ł_-;\-* #,##0\ _z_ł_-;_-* &quot;-&quot;??\ _z_ł_-;_-@_-"/>
    <numFmt numFmtId="166" formatCode="0.0"/>
    <numFmt numFmtId="167" formatCode="#,##0.0_ ;\-#,##0.0\ "/>
    <numFmt numFmtId="168" formatCode="#,##0.00_ ;\-#,##0.00\ "/>
    <numFmt numFmtId="169" formatCode="#,##0.0"/>
  </numFmts>
  <fonts count="48">
    <font>
      <sz val="10"/>
      <name val="Arial CE"/>
      <charset val="238"/>
    </font>
    <font>
      <sz val="10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Times New Roman CE"/>
      <family val="1"/>
      <charset val="238"/>
    </font>
    <font>
      <b/>
      <sz val="10"/>
      <name val="Arial CE"/>
      <charset val="238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(W1)"/>
      <family val="1"/>
    </font>
    <font>
      <sz val="8"/>
      <name val="Times New (W1)"/>
      <family val="1"/>
    </font>
    <font>
      <b/>
      <sz val="10"/>
      <name val="Times New (W1)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Times New (W1)"/>
      <family val="1"/>
    </font>
    <font>
      <sz val="9"/>
      <name val="Arial CE"/>
      <charset val="238"/>
    </font>
    <font>
      <sz val="8"/>
      <name val="Arial CE"/>
      <charset val="238"/>
    </font>
    <font>
      <b/>
      <sz val="9"/>
      <name val="Times New (W1)"/>
      <family val="1"/>
    </font>
    <font>
      <sz val="7"/>
      <name val="Times New (W1)"/>
      <family val="1"/>
    </font>
    <font>
      <b/>
      <sz val="12"/>
      <name val="Times New (W1)"/>
      <family val="1"/>
    </font>
    <font>
      <sz val="12"/>
      <name val="Times New (W1)"/>
      <family val="1"/>
    </font>
    <font>
      <b/>
      <sz val="8"/>
      <name val="Times New (W1)"/>
      <family val="1"/>
    </font>
    <font>
      <sz val="7"/>
      <name val="Arial CE"/>
      <charset val="238"/>
    </font>
    <font>
      <sz val="7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  <charset val="238"/>
    </font>
    <font>
      <b/>
      <sz val="11"/>
      <name val="Times New Roman"/>
      <family val="1"/>
    </font>
    <font>
      <sz val="6"/>
      <name val="Times New (W1)"/>
      <family val="1"/>
    </font>
    <font>
      <i/>
      <u/>
      <sz val="8"/>
      <name val="Times New (W1)"/>
      <family val="1"/>
    </font>
    <font>
      <b/>
      <sz val="8"/>
      <name val="Times New Roman"/>
      <family val="1"/>
      <charset val="238"/>
    </font>
    <font>
      <b/>
      <sz val="7"/>
      <name val="Times New Roman"/>
      <family val="1"/>
    </font>
    <font>
      <b/>
      <sz val="7"/>
      <name val="Times New (W1)"/>
      <family val="1"/>
    </font>
    <font>
      <b/>
      <sz val="12"/>
      <name val="Times New Roman"/>
      <family val="1"/>
    </font>
    <font>
      <sz val="9"/>
      <name val="Times New Roman"/>
      <family val="1"/>
      <charset val="238"/>
    </font>
    <font>
      <sz val="9"/>
      <name val="Times New Roman CE"/>
      <family val="1"/>
      <charset val="238"/>
    </font>
    <font>
      <b/>
      <sz val="9"/>
      <name val="Times New Roman CE"/>
      <charset val="238"/>
    </font>
    <font>
      <sz val="6"/>
      <name val="Times New Roman"/>
      <family val="1"/>
    </font>
    <font>
      <sz val="10"/>
      <color indexed="10"/>
      <name val="Arial"/>
      <family val="2"/>
      <charset val="238"/>
    </font>
    <font>
      <sz val="11"/>
      <name val="Calibri"/>
      <family val="2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6"/>
      <name val="Times New Roman"/>
      <family val="1"/>
      <charset val="238"/>
    </font>
    <font>
      <sz val="10"/>
      <name val="Times New Roman"/>
      <family val="1"/>
      <charset val="238"/>
    </font>
    <font>
      <sz val="7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4" fillId="0" borderId="0" xfId="0" applyFont="1"/>
    <xf numFmtId="0" fontId="2" fillId="0" borderId="1" xfId="0" applyFont="1" applyBorder="1" applyAlignment="1">
      <alignment horizontal="left" vertical="top" wrapText="1"/>
    </xf>
    <xf numFmtId="165" fontId="2" fillId="0" borderId="1" xfId="1" applyNumberFormat="1" applyFont="1" applyBorder="1"/>
    <xf numFmtId="0" fontId="2" fillId="0" borderId="1" xfId="0" applyFont="1" applyBorder="1"/>
    <xf numFmtId="0" fontId="4" fillId="0" borderId="1" xfId="0" applyFont="1" applyBorder="1" applyAlignment="1">
      <alignment wrapText="1"/>
    </xf>
    <xf numFmtId="49" fontId="2" fillId="0" borderId="1" xfId="0" applyNumberFormat="1" applyFont="1" applyBorder="1"/>
    <xf numFmtId="0" fontId="5" fillId="0" borderId="1" xfId="0" applyFont="1" applyBorder="1" applyAlignment="1">
      <alignment horizontal="left"/>
    </xf>
    <xf numFmtId="165" fontId="5" fillId="0" borderId="1" xfId="0" applyNumberFormat="1" applyFont="1" applyBorder="1" applyAlignment="1">
      <alignment horizontal="center"/>
    </xf>
    <xf numFmtId="165" fontId="2" fillId="0" borderId="1" xfId="1" applyNumberFormat="1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165" fontId="5" fillId="0" borderId="1" xfId="1" applyNumberFormat="1" applyFont="1" applyBorder="1"/>
    <xf numFmtId="0" fontId="2" fillId="0" borderId="3" xfId="0" quotePrefix="1" applyFont="1" applyBorder="1" applyAlignment="1">
      <alignment horizontal="center"/>
    </xf>
    <xf numFmtId="165" fontId="5" fillId="0" borderId="1" xfId="1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165" fontId="2" fillId="0" borderId="1" xfId="1" applyNumberFormat="1" applyFont="1" applyFill="1" applyBorder="1"/>
    <xf numFmtId="0" fontId="5" fillId="0" borderId="1" xfId="0" applyFont="1" applyBorder="1"/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5" fontId="0" fillId="0" borderId="0" xfId="0" applyNumberFormat="1"/>
    <xf numFmtId="165" fontId="3" fillId="0" borderId="0" xfId="0" applyNumberFormat="1" applyFont="1"/>
    <xf numFmtId="165" fontId="5" fillId="0" borderId="0" xfId="1" applyNumberFormat="1" applyFont="1"/>
    <xf numFmtId="165" fontId="6" fillId="0" borderId="0" xfId="0" applyNumberFormat="1" applyFont="1"/>
    <xf numFmtId="165" fontId="2" fillId="0" borderId="2" xfId="1" applyNumberFormat="1" applyFont="1" applyBorder="1"/>
    <xf numFmtId="165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43" fontId="2" fillId="0" borderId="1" xfId="1" applyNumberFormat="1" applyFont="1" applyBorder="1" applyAlignment="1">
      <alignment horizontal="center"/>
    </xf>
    <xf numFmtId="43" fontId="0" fillId="0" borderId="0" xfId="0" applyNumberFormat="1"/>
    <xf numFmtId="165" fontId="8" fillId="0" borderId="0" xfId="0" applyNumberFormat="1" applyFont="1"/>
    <xf numFmtId="0" fontId="8" fillId="0" borderId="0" xfId="0" applyFont="1"/>
    <xf numFmtId="0" fontId="9" fillId="0" borderId="0" xfId="0" applyFont="1"/>
    <xf numFmtId="0" fontId="9" fillId="0" borderId="1" xfId="0" applyFont="1" applyBorder="1" applyAlignment="1">
      <alignment horizontal="center"/>
    </xf>
    <xf numFmtId="0" fontId="9" fillId="0" borderId="0" xfId="0" applyFont="1" applyFill="1"/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Border="1"/>
    <xf numFmtId="0" fontId="12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wrapText="1"/>
    </xf>
    <xf numFmtId="3" fontId="13" fillId="0" borderId="1" xfId="0" applyNumberFormat="1" applyFont="1" applyBorder="1"/>
    <xf numFmtId="166" fontId="11" fillId="0" borderId="1" xfId="0" applyNumberFormat="1" applyFont="1" applyBorder="1"/>
    <xf numFmtId="4" fontId="13" fillId="0" borderId="1" xfId="0" applyNumberFormat="1" applyFont="1" applyBorder="1"/>
    <xf numFmtId="165" fontId="14" fillId="0" borderId="8" xfId="1" applyNumberFormat="1" applyFont="1" applyBorder="1"/>
    <xf numFmtId="165" fontId="5" fillId="0" borderId="0" xfId="0" applyNumberFormat="1" applyFont="1"/>
    <xf numFmtId="0" fontId="5" fillId="0" borderId="0" xfId="0" applyFont="1"/>
    <xf numFmtId="0" fontId="15" fillId="0" borderId="1" xfId="0" applyFont="1" applyBorder="1" applyAlignment="1">
      <alignment horizontal="center"/>
    </xf>
    <xf numFmtId="0" fontId="14" fillId="0" borderId="1" xfId="0" quotePrefix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16" fillId="0" borderId="1" xfId="0" quotePrefix="1" applyFont="1" applyBorder="1" applyAlignment="1">
      <alignment horizontal="center"/>
    </xf>
    <xf numFmtId="165" fontId="16" fillId="0" borderId="1" xfId="1" applyNumberFormat="1" applyFont="1" applyBorder="1" applyAlignment="1">
      <alignment horizontal="left"/>
    </xf>
    <xf numFmtId="0" fontId="14" fillId="0" borderId="1" xfId="0" applyFont="1" applyBorder="1" applyAlignment="1">
      <alignment horizontal="left" vertical="top" wrapText="1"/>
    </xf>
    <xf numFmtId="165" fontId="14" fillId="0" borderId="1" xfId="1" applyNumberFormat="1" applyFont="1" applyBorder="1"/>
    <xf numFmtId="0" fontId="16" fillId="0" borderId="1" xfId="0" applyFont="1" applyBorder="1" applyAlignment="1">
      <alignment horizontal="left" vertical="top" wrapText="1"/>
    </xf>
    <xf numFmtId="165" fontId="14" fillId="0" borderId="1" xfId="1" applyNumberFormat="1" applyFont="1" applyBorder="1" applyAlignment="1">
      <alignment horizontal="left"/>
    </xf>
    <xf numFmtId="0" fontId="14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65" fontId="16" fillId="0" borderId="1" xfId="1" applyNumberFormat="1" applyFont="1" applyFill="1" applyBorder="1"/>
    <xf numFmtId="0" fontId="14" fillId="0" borderId="1" xfId="0" applyFont="1" applyBorder="1"/>
    <xf numFmtId="0" fontId="16" fillId="0" borderId="1" xfId="0" applyFont="1" applyBorder="1"/>
    <xf numFmtId="49" fontId="16" fillId="0" borderId="1" xfId="0" applyNumberFormat="1" applyFont="1" applyBorder="1"/>
    <xf numFmtId="0" fontId="17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Alignment="1"/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5" fontId="18" fillId="0" borderId="0" xfId="0" applyNumberFormat="1" applyFont="1"/>
    <xf numFmtId="0" fontId="18" fillId="0" borderId="0" xfId="0" applyFont="1"/>
    <xf numFmtId="0" fontId="15" fillId="0" borderId="6" xfId="0" applyFont="1" applyBorder="1"/>
    <xf numFmtId="0" fontId="15" fillId="0" borderId="3" xfId="0" applyFont="1" applyBorder="1"/>
    <xf numFmtId="2" fontId="14" fillId="0" borderId="1" xfId="1" applyNumberFormat="1" applyFont="1" applyBorder="1"/>
    <xf numFmtId="2" fontId="16" fillId="0" borderId="1" xfId="1" applyNumberFormat="1" applyFont="1" applyFill="1" applyBorder="1"/>
    <xf numFmtId="2" fontId="16" fillId="0" borderId="1" xfId="1" applyNumberFormat="1" applyFont="1" applyBorder="1"/>
    <xf numFmtId="2" fontId="16" fillId="0" borderId="8" xfId="1" applyNumberFormat="1" applyFont="1" applyBorder="1"/>
    <xf numFmtId="2" fontId="14" fillId="0" borderId="8" xfId="1" applyNumberFormat="1" applyFont="1" applyBorder="1"/>
    <xf numFmtId="0" fontId="17" fillId="0" borderId="1" xfId="0" quotePrefix="1" applyFont="1" applyBorder="1" applyAlignment="1">
      <alignment horizontal="center" vertical="center"/>
    </xf>
    <xf numFmtId="0" fontId="17" fillId="0" borderId="1" xfId="0" applyFont="1" applyBorder="1"/>
    <xf numFmtId="0" fontId="17" fillId="0" borderId="1" xfId="0" applyFont="1" applyBorder="1" applyAlignment="1">
      <alignment horizontal="center" vertical="center"/>
    </xf>
    <xf numFmtId="0" fontId="20" fillId="0" borderId="1" xfId="0" applyFont="1" applyBorder="1"/>
    <xf numFmtId="0" fontId="12" fillId="0" borderId="0" xfId="0" applyFont="1"/>
    <xf numFmtId="0" fontId="20" fillId="0" borderId="1" xfId="0" applyFont="1" applyBorder="1" applyAlignment="1">
      <alignment horizontal="center"/>
    </xf>
    <xf numFmtId="43" fontId="20" fillId="0" borderId="1" xfId="1" applyNumberFormat="1" applyFont="1" applyBorder="1"/>
    <xf numFmtId="164" fontId="20" fillId="0" borderId="1" xfId="1" applyNumberFormat="1" applyFont="1" applyBorder="1" applyAlignment="1">
      <alignment horizontal="center"/>
    </xf>
    <xf numFmtId="0" fontId="17" fillId="0" borderId="0" xfId="0" applyFont="1"/>
    <xf numFmtId="0" fontId="17" fillId="0" borderId="1" xfId="0" applyFont="1" applyBorder="1" applyAlignment="1">
      <alignment horizontal="center"/>
    </xf>
    <xf numFmtId="43" fontId="17" fillId="0" borderId="1" xfId="1" applyNumberFormat="1" applyFont="1" applyBorder="1"/>
    <xf numFmtId="164" fontId="17" fillId="0" borderId="1" xfId="1" applyNumberFormat="1" applyFont="1" applyBorder="1" applyAlignment="1">
      <alignment horizontal="center"/>
    </xf>
    <xf numFmtId="0" fontId="17" fillId="0" borderId="1" xfId="0" quotePrefix="1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9" fillId="0" borderId="0" xfId="0" applyFont="1"/>
    <xf numFmtId="0" fontId="20" fillId="0" borderId="1" xfId="0" quotePrefix="1" applyFont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quotePrefix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24" fillId="0" borderId="0" xfId="0" applyFont="1"/>
    <xf numFmtId="0" fontId="20" fillId="0" borderId="0" xfId="0" applyFont="1"/>
    <xf numFmtId="165" fontId="17" fillId="0" borderId="1" xfId="1" applyNumberFormat="1" applyFont="1" applyBorder="1"/>
    <xf numFmtId="165" fontId="20" fillId="0" borderId="1" xfId="1" applyNumberFormat="1" applyFont="1" applyBorder="1"/>
    <xf numFmtId="0" fontId="20" fillId="0" borderId="2" xfId="0" quotePrefix="1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quotePrefix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43" fontId="11" fillId="0" borderId="1" xfId="1" applyFont="1" applyBorder="1"/>
    <xf numFmtId="43" fontId="13" fillId="0" borderId="1" xfId="0" applyNumberFormat="1" applyFont="1" applyBorder="1"/>
    <xf numFmtId="43" fontId="11" fillId="0" borderId="1" xfId="1" applyFont="1" applyFill="1" applyBorder="1"/>
    <xf numFmtId="165" fontId="2" fillId="0" borderId="0" xfId="1" applyNumberFormat="1" applyFont="1" applyBorder="1"/>
    <xf numFmtId="0" fontId="5" fillId="0" borderId="3" xfId="0" quotePrefix="1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0" borderId="1" xfId="0" quotePrefix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1" xfId="0" applyFont="1" applyBorder="1" applyAlignment="1">
      <alignment horizontal="center"/>
    </xf>
    <xf numFmtId="0" fontId="15" fillId="0" borderId="1" xfId="0" quotePrefix="1" applyFont="1" applyBorder="1" applyAlignment="1">
      <alignment horizontal="center"/>
    </xf>
    <xf numFmtId="0" fontId="15" fillId="0" borderId="1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/>
    </xf>
    <xf numFmtId="0" fontId="28" fillId="0" borderId="1" xfId="0" applyFont="1" applyBorder="1" applyAlignment="1">
      <alignment horizontal="left" vertical="top" wrapText="1"/>
    </xf>
    <xf numFmtId="0" fontId="15" fillId="0" borderId="1" xfId="0" applyFont="1" applyBorder="1"/>
    <xf numFmtId="49" fontId="15" fillId="0" borderId="1" xfId="0" applyNumberFormat="1" applyFont="1" applyBorder="1"/>
    <xf numFmtId="0" fontId="1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6" fontId="13" fillId="0" borderId="1" xfId="0" applyNumberFormat="1" applyFont="1" applyBorder="1"/>
    <xf numFmtId="0" fontId="11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right"/>
    </xf>
    <xf numFmtId="0" fontId="30" fillId="0" borderId="1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right"/>
    </xf>
    <xf numFmtId="43" fontId="14" fillId="0" borderId="1" xfId="1" applyFont="1" applyBorder="1"/>
    <xf numFmtId="43" fontId="16" fillId="0" borderId="1" xfId="1" applyFont="1" applyFill="1" applyBorder="1"/>
    <xf numFmtId="43" fontId="14" fillId="0" borderId="8" xfId="1" applyFont="1" applyBorder="1"/>
    <xf numFmtId="43" fontId="13" fillId="0" borderId="1" xfId="1" applyFont="1" applyBorder="1"/>
    <xf numFmtId="43" fontId="20" fillId="0" borderId="1" xfId="1" applyFont="1" applyBorder="1"/>
    <xf numFmtId="43" fontId="14" fillId="0" borderId="1" xfId="1" applyFont="1" applyBorder="1" applyAlignment="1">
      <alignment horizontal="center"/>
    </xf>
    <xf numFmtId="43" fontId="16" fillId="0" borderId="1" xfId="1" applyFont="1" applyBorder="1" applyAlignment="1">
      <alignment horizontal="center"/>
    </xf>
    <xf numFmtId="0" fontId="15" fillId="0" borderId="3" xfId="0" quotePrefix="1" applyFont="1" applyBorder="1" applyAlignment="1">
      <alignment horizontal="center"/>
    </xf>
    <xf numFmtId="165" fontId="27" fillId="0" borderId="1" xfId="1" applyNumberFormat="1" applyFont="1" applyBorder="1" applyAlignment="1">
      <alignment vertical="top"/>
    </xf>
    <xf numFmtId="165" fontId="15" fillId="0" borderId="1" xfId="1" applyNumberFormat="1" applyFont="1" applyBorder="1" applyAlignment="1">
      <alignment vertical="top"/>
    </xf>
    <xf numFmtId="0" fontId="11" fillId="0" borderId="1" xfId="0" applyFont="1" applyBorder="1"/>
    <xf numFmtId="0" fontId="13" fillId="0" borderId="1" xfId="0" applyFont="1" applyBorder="1"/>
    <xf numFmtId="165" fontId="13" fillId="0" borderId="1" xfId="1" applyNumberFormat="1" applyFont="1" applyBorder="1"/>
    <xf numFmtId="0" fontId="11" fillId="0" borderId="1" xfId="0" quotePrefix="1" applyFont="1" applyBorder="1" applyAlignment="1">
      <alignment horizontal="center"/>
    </xf>
    <xf numFmtId="0" fontId="0" fillId="0" borderId="1" xfId="0" applyBorder="1"/>
    <xf numFmtId="165" fontId="11" fillId="0" borderId="1" xfId="0" applyNumberFormat="1" applyFont="1" applyBorder="1"/>
    <xf numFmtId="43" fontId="13" fillId="0" borderId="1" xfId="1" applyFont="1" applyFill="1" applyBorder="1"/>
    <xf numFmtId="43" fontId="11" fillId="0" borderId="1" xfId="1" applyFont="1" applyFill="1" applyBorder="1" applyAlignment="1">
      <alignment vertical="center"/>
    </xf>
    <xf numFmtId="166" fontId="11" fillId="0" borderId="1" xfId="0" applyNumberFormat="1" applyFont="1" applyFill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7" fillId="2" borderId="1" xfId="0" quotePrefix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left"/>
    </xf>
    <xf numFmtId="165" fontId="15" fillId="0" borderId="1" xfId="1" applyNumberFormat="1" applyFont="1" applyFill="1" applyBorder="1" applyAlignment="1">
      <alignment horizontal="right"/>
    </xf>
    <xf numFmtId="0" fontId="15" fillId="0" borderId="1" xfId="0" quotePrefix="1" applyFont="1" applyBorder="1" applyAlignment="1">
      <alignment horizontal="center" vertical="center"/>
    </xf>
    <xf numFmtId="0" fontId="27" fillId="2" borderId="1" xfId="0" quotePrefix="1" applyFont="1" applyFill="1" applyBorder="1" applyAlignment="1">
      <alignment horizontal="center" vertical="center"/>
    </xf>
    <xf numFmtId="0" fontId="27" fillId="2" borderId="1" xfId="0" applyFont="1" applyFill="1" applyBorder="1"/>
    <xf numFmtId="0" fontId="27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wrapText="1"/>
    </xf>
    <xf numFmtId="0" fontId="27" fillId="2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top" wrapText="1"/>
    </xf>
    <xf numFmtId="0" fontId="28" fillId="0" borderId="12" xfId="0" quotePrefix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 vertical="top" wrapText="1"/>
    </xf>
    <xf numFmtId="165" fontId="28" fillId="0" borderId="4" xfId="1" applyNumberFormat="1" applyFont="1" applyFill="1" applyBorder="1" applyAlignment="1">
      <alignment horizontal="right"/>
    </xf>
    <xf numFmtId="0" fontId="15" fillId="0" borderId="3" xfId="0" quotePrefix="1" applyFont="1" applyBorder="1" applyAlignment="1">
      <alignment horizontal="center" vertical="center"/>
    </xf>
    <xf numFmtId="0" fontId="15" fillId="0" borderId="12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165" fontId="15" fillId="0" borderId="4" xfId="1" applyNumberFormat="1" applyFont="1" applyFill="1" applyBorder="1" applyAlignment="1">
      <alignment horizontal="right"/>
    </xf>
    <xf numFmtId="0" fontId="27" fillId="2" borderId="4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65" fontId="32" fillId="0" borderId="1" xfId="1" applyNumberFormat="1" applyFont="1" applyFill="1" applyBorder="1" applyAlignment="1">
      <alignment horizontal="right"/>
    </xf>
    <xf numFmtId="0" fontId="32" fillId="0" borderId="1" xfId="0" applyFont="1" applyBorder="1" applyAlignment="1">
      <alignment horizontal="left" vertical="top" wrapText="1"/>
    </xf>
    <xf numFmtId="165" fontId="28" fillId="0" borderId="1" xfId="1" applyNumberFormat="1" applyFont="1" applyFill="1" applyBorder="1" applyAlignment="1">
      <alignment horizontal="right"/>
    </xf>
    <xf numFmtId="43" fontId="15" fillId="0" borderId="1" xfId="1" applyFont="1" applyFill="1" applyBorder="1" applyAlignment="1">
      <alignment horizontal="right"/>
    </xf>
    <xf numFmtId="43" fontId="28" fillId="0" borderId="1" xfId="1" applyFont="1" applyFill="1" applyBorder="1" applyAlignment="1">
      <alignment horizontal="right"/>
    </xf>
    <xf numFmtId="0" fontId="12" fillId="0" borderId="1" xfId="0" applyFont="1" applyBorder="1" applyAlignment="1">
      <alignment vertical="top" wrapText="1"/>
    </xf>
    <xf numFmtId="0" fontId="15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28" fillId="0" borderId="1" xfId="0" quotePrefix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left" vertical="top" wrapText="1"/>
    </xf>
    <xf numFmtId="0" fontId="28" fillId="0" borderId="1" xfId="0" applyFont="1" applyFill="1" applyBorder="1" applyAlignment="1">
      <alignment horizontal="left" vertical="top" wrapText="1"/>
    </xf>
    <xf numFmtId="0" fontId="15" fillId="0" borderId="4" xfId="0" quotePrefix="1" applyFont="1" applyBorder="1" applyAlignment="1">
      <alignment horizontal="center" vertical="center"/>
    </xf>
    <xf numFmtId="0" fontId="15" fillId="0" borderId="4" xfId="0" applyFont="1" applyBorder="1"/>
    <xf numFmtId="43" fontId="15" fillId="0" borderId="4" xfId="1" applyFont="1" applyFill="1" applyBorder="1" applyAlignment="1">
      <alignment horizontal="right"/>
    </xf>
    <xf numFmtId="43" fontId="28" fillId="0" borderId="4" xfId="1" applyFont="1" applyFill="1" applyBorder="1" applyAlignment="1">
      <alignment horizontal="right"/>
    </xf>
    <xf numFmtId="43" fontId="0" fillId="0" borderId="0" xfId="1" applyFont="1"/>
    <xf numFmtId="165" fontId="12" fillId="0" borderId="1" xfId="1" applyNumberFormat="1" applyFont="1" applyFill="1" applyBorder="1" applyAlignment="1">
      <alignment horizontal="right"/>
    </xf>
    <xf numFmtId="43" fontId="12" fillId="0" borderId="1" xfId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 vertical="top" wrapText="1"/>
    </xf>
    <xf numFmtId="165" fontId="24" fillId="0" borderId="1" xfId="1" applyNumberFormat="1" applyFont="1" applyFill="1" applyBorder="1" applyAlignment="1">
      <alignment horizontal="right"/>
    </xf>
    <xf numFmtId="0" fontId="12" fillId="0" borderId="0" xfId="0" applyFont="1" applyBorder="1" applyAlignment="1">
      <alignment horizontal="left" vertical="top" wrapText="1"/>
    </xf>
    <xf numFmtId="165" fontId="12" fillId="0" borderId="0" xfId="1" applyNumberFormat="1" applyFont="1" applyFill="1" applyBorder="1" applyAlignment="1">
      <alignment horizontal="right"/>
    </xf>
    <xf numFmtId="43" fontId="12" fillId="0" borderId="0" xfId="1" applyFont="1" applyFill="1" applyBorder="1" applyAlignment="1">
      <alignment horizontal="right"/>
    </xf>
    <xf numFmtId="165" fontId="12" fillId="0" borderId="1" xfId="0" applyNumberFormat="1" applyFont="1" applyBorder="1"/>
    <xf numFmtId="43" fontId="12" fillId="0" borderId="1" xfId="0" applyNumberFormat="1" applyFont="1" applyBorder="1"/>
    <xf numFmtId="165" fontId="12" fillId="0" borderId="0" xfId="0" applyNumberFormat="1" applyFont="1"/>
    <xf numFmtId="43" fontId="12" fillId="0" borderId="0" xfId="0" applyNumberFormat="1" applyFont="1"/>
    <xf numFmtId="0" fontId="11" fillId="0" borderId="0" xfId="0" applyFont="1" applyAlignment="1">
      <alignment horizontal="right"/>
    </xf>
    <xf numFmtId="166" fontId="12" fillId="0" borderId="1" xfId="0" applyNumberFormat="1" applyFont="1" applyBorder="1"/>
    <xf numFmtId="0" fontId="25" fillId="0" borderId="1" xfId="0" applyFont="1" applyBorder="1" applyAlignment="1">
      <alignment horizontal="center"/>
    </xf>
    <xf numFmtId="0" fontId="12" fillId="3" borderId="1" xfId="0" quotePrefix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top" wrapText="1"/>
    </xf>
    <xf numFmtId="165" fontId="12" fillId="3" borderId="1" xfId="1" applyNumberFormat="1" applyFont="1" applyFill="1" applyBorder="1" applyAlignment="1">
      <alignment horizontal="right"/>
    </xf>
    <xf numFmtId="43" fontId="12" fillId="3" borderId="1" xfId="1" applyFont="1" applyFill="1" applyBorder="1" applyAlignment="1">
      <alignment horizontal="right"/>
    </xf>
    <xf numFmtId="166" fontId="12" fillId="0" borderId="4" xfId="0" applyNumberFormat="1" applyFont="1" applyBorder="1"/>
    <xf numFmtId="166" fontId="12" fillId="0" borderId="0" xfId="0" applyNumberFormat="1" applyFont="1" applyBorder="1"/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 wrapText="1"/>
    </xf>
    <xf numFmtId="164" fontId="33" fillId="2" borderId="1" xfId="1" applyNumberFormat="1" applyFont="1" applyFill="1" applyBorder="1" applyAlignment="1">
      <alignment horizontal="right" vertical="center"/>
    </xf>
    <xf numFmtId="43" fontId="15" fillId="0" borderId="1" xfId="1" applyNumberFormat="1" applyFont="1" applyFill="1" applyBorder="1" applyAlignment="1">
      <alignment horizontal="right" vertical="center"/>
    </xf>
    <xf numFmtId="164" fontId="26" fillId="0" borderId="1" xfId="1" applyNumberFormat="1" applyFont="1" applyBorder="1" applyAlignment="1">
      <alignment horizontal="right" vertical="center"/>
    </xf>
    <xf numFmtId="164" fontId="26" fillId="2" borderId="1" xfId="1" applyNumberFormat="1" applyFont="1" applyFill="1" applyBorder="1" applyAlignment="1">
      <alignment horizontal="right" vertical="center"/>
    </xf>
    <xf numFmtId="43" fontId="15" fillId="0" borderId="1" xfId="1" applyFont="1" applyFill="1" applyBorder="1" applyAlignment="1">
      <alignment horizontal="right" vertical="center"/>
    </xf>
    <xf numFmtId="0" fontId="15" fillId="0" borderId="1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1" fillId="0" borderId="0" xfId="0" applyFont="1"/>
    <xf numFmtId="0" fontId="12" fillId="0" borderId="1" xfId="0" quotePrefix="1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27" fillId="0" borderId="1" xfId="0" applyFont="1" applyBorder="1" applyAlignment="1">
      <alignment vertical="top" wrapText="1"/>
    </xf>
    <xf numFmtId="0" fontId="28" fillId="0" borderId="1" xfId="0" applyFont="1" applyBorder="1" applyAlignment="1">
      <alignment vertical="top" wrapText="1"/>
    </xf>
    <xf numFmtId="0" fontId="27" fillId="0" borderId="1" xfId="0" applyFont="1" applyBorder="1" applyAlignment="1">
      <alignment vertical="top"/>
    </xf>
    <xf numFmtId="0" fontId="15" fillId="0" borderId="1" xfId="0" applyFont="1" applyBorder="1" applyAlignment="1">
      <alignment vertical="top"/>
    </xf>
    <xf numFmtId="0" fontId="28" fillId="0" borderId="1" xfId="0" applyFont="1" applyBorder="1" applyAlignment="1">
      <alignment vertical="top"/>
    </xf>
    <xf numFmtId="49" fontId="15" fillId="0" borderId="1" xfId="0" applyNumberFormat="1" applyFont="1" applyBorder="1" applyAlignment="1">
      <alignment vertical="top"/>
    </xf>
    <xf numFmtId="0" fontId="27" fillId="0" borderId="1" xfId="0" applyFont="1" applyBorder="1" applyAlignment="1">
      <alignment horizontal="center" vertical="center"/>
    </xf>
    <xf numFmtId="0" fontId="27" fillId="0" borderId="1" xfId="0" quotePrefix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165" fontId="13" fillId="0" borderId="0" xfId="1" applyNumberFormat="1" applyFont="1" applyBorder="1" applyAlignment="1">
      <alignment vertical="center"/>
    </xf>
    <xf numFmtId="43" fontId="13" fillId="0" borderId="0" xfId="0" applyNumberFormat="1" applyFont="1" applyBorder="1"/>
    <xf numFmtId="166" fontId="13" fillId="0" borderId="0" xfId="0" applyNumberFormat="1" applyFont="1" applyFill="1" applyBorder="1"/>
    <xf numFmtId="0" fontId="11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43" fontId="16" fillId="0" borderId="1" xfId="1" applyNumberFormat="1" applyFont="1" applyBorder="1" applyAlignment="1">
      <alignment horizontal="center" vertical="center"/>
    </xf>
    <xf numFmtId="165" fontId="16" fillId="0" borderId="1" xfId="1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43" fontId="36" fillId="0" borderId="1" xfId="1" applyNumberFormat="1" applyFont="1" applyFill="1" applyBorder="1" applyAlignment="1" applyProtection="1">
      <alignment horizontal="right" vertical="center"/>
    </xf>
    <xf numFmtId="165" fontId="36" fillId="0" borderId="1" xfId="1" applyNumberFormat="1" applyFont="1" applyFill="1" applyBorder="1" applyAlignment="1" applyProtection="1">
      <alignment horizontal="right" vertical="center"/>
    </xf>
    <xf numFmtId="43" fontId="16" fillId="0" borderId="1" xfId="1" applyNumberFormat="1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43" fontId="37" fillId="0" borderId="1" xfId="1" applyNumberFormat="1" applyFont="1" applyBorder="1" applyAlignment="1">
      <alignment horizontal="center" vertical="center"/>
    </xf>
    <xf numFmtId="165" fontId="37" fillId="0" borderId="1" xfId="1" applyNumberFormat="1" applyFont="1" applyBorder="1" applyAlignment="1">
      <alignment horizontal="center" vertical="center"/>
    </xf>
    <xf numFmtId="43" fontId="38" fillId="0" borderId="1" xfId="1" applyNumberFormat="1" applyFont="1" applyFill="1" applyBorder="1" applyAlignment="1">
      <alignment horizontal="left" wrapText="1"/>
    </xf>
    <xf numFmtId="165" fontId="38" fillId="0" borderId="1" xfId="1" applyNumberFormat="1" applyFont="1" applyFill="1" applyBorder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3" fontId="9" fillId="0" borderId="0" xfId="0" applyNumberFormat="1" applyFont="1" applyFill="1"/>
    <xf numFmtId="43" fontId="0" fillId="0" borderId="0" xfId="0" applyNumberFormat="1" applyFill="1"/>
    <xf numFmtId="43" fontId="21" fillId="0" borderId="0" xfId="0" applyNumberFormat="1" applyFont="1" applyFill="1"/>
    <xf numFmtId="0" fontId="32" fillId="0" borderId="1" xfId="0" quotePrefix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8" fillId="0" borderId="1" xfId="0" applyFont="1" applyFill="1" applyBorder="1"/>
    <xf numFmtId="0" fontId="15" fillId="0" borderId="1" xfId="0" applyNumberFormat="1" applyFont="1" applyFill="1" applyBorder="1" applyAlignment="1">
      <alignment horizontal="center"/>
    </xf>
    <xf numFmtId="168" fontId="27" fillId="2" borderId="1" xfId="1" applyNumberFormat="1" applyFont="1" applyFill="1" applyBorder="1" applyAlignment="1">
      <alignment horizontal="right" vertical="center"/>
    </xf>
    <xf numFmtId="168" fontId="15" fillId="0" borderId="1" xfId="1" applyNumberFormat="1" applyFont="1" applyFill="1" applyBorder="1" applyAlignment="1">
      <alignment horizontal="right" vertical="center"/>
    </xf>
    <xf numFmtId="168" fontId="27" fillId="0" borderId="1" xfId="1" applyNumberFormat="1" applyFont="1" applyFill="1" applyBorder="1" applyAlignment="1">
      <alignment horizontal="right" vertical="center"/>
    </xf>
    <xf numFmtId="168" fontId="28" fillId="0" borderId="4" xfId="1" applyNumberFormat="1" applyFont="1" applyFill="1" applyBorder="1" applyAlignment="1">
      <alignment horizontal="right" vertical="center"/>
    </xf>
    <xf numFmtId="168" fontId="15" fillId="0" borderId="4" xfId="1" applyNumberFormat="1" applyFont="1" applyFill="1" applyBorder="1" applyAlignment="1">
      <alignment horizontal="right" vertical="center"/>
    </xf>
    <xf numFmtId="168" fontId="32" fillId="0" borderId="1" xfId="1" applyNumberFormat="1" applyFont="1" applyFill="1" applyBorder="1" applyAlignment="1">
      <alignment horizontal="right" vertical="center"/>
    </xf>
    <xf numFmtId="168" fontId="28" fillId="0" borderId="1" xfId="1" applyNumberFormat="1" applyFont="1" applyFill="1" applyBorder="1" applyAlignment="1">
      <alignment horizontal="right" vertical="center"/>
    </xf>
    <xf numFmtId="168" fontId="27" fillId="2" borderId="1" xfId="1" applyNumberFormat="1" applyFont="1" applyFill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4" fontId="27" fillId="2" borderId="1" xfId="1" applyNumberFormat="1" applyFont="1" applyFill="1" applyBorder="1" applyAlignment="1">
      <alignment horizontal="right" vertical="center"/>
    </xf>
    <xf numFmtId="4" fontId="15" fillId="0" borderId="1" xfId="1" applyNumberFormat="1" applyFont="1" applyFill="1" applyBorder="1" applyAlignment="1">
      <alignment horizontal="right" vertical="center"/>
    </xf>
    <xf numFmtId="4" fontId="27" fillId="0" borderId="1" xfId="1" applyNumberFormat="1" applyFont="1" applyFill="1" applyBorder="1" applyAlignment="1">
      <alignment horizontal="right" vertical="center"/>
    </xf>
    <xf numFmtId="4" fontId="28" fillId="0" borderId="4" xfId="1" applyNumberFormat="1" applyFont="1" applyFill="1" applyBorder="1" applyAlignment="1">
      <alignment horizontal="right" vertical="center"/>
    </xf>
    <xf numFmtId="4" fontId="15" fillId="0" borderId="4" xfId="1" applyNumberFormat="1" applyFont="1" applyFill="1" applyBorder="1" applyAlignment="1">
      <alignment horizontal="right" vertical="center"/>
    </xf>
    <xf numFmtId="4" fontId="32" fillId="0" borderId="1" xfId="1" applyNumberFormat="1" applyFont="1" applyFill="1" applyBorder="1" applyAlignment="1">
      <alignment horizontal="right" vertical="center"/>
    </xf>
    <xf numFmtId="4" fontId="28" fillId="0" borderId="1" xfId="1" applyNumberFormat="1" applyFont="1" applyFill="1" applyBorder="1" applyAlignment="1">
      <alignment horizontal="right" vertical="center"/>
    </xf>
    <xf numFmtId="4" fontId="27" fillId="2" borderId="1" xfId="1" applyNumberFormat="1" applyFont="1" applyFill="1" applyBorder="1" applyAlignment="1">
      <alignment horizontal="right"/>
    </xf>
    <xf numFmtId="4" fontId="0" fillId="0" borderId="0" xfId="0" applyNumberFormat="1" applyFill="1"/>
    <xf numFmtId="4" fontId="15" fillId="0" borderId="10" xfId="1" applyNumberFormat="1" applyFont="1" applyBorder="1" applyAlignment="1">
      <alignment vertical="center"/>
    </xf>
    <xf numFmtId="4" fontId="27" fillId="0" borderId="1" xfId="0" applyNumberFormat="1" applyFont="1" applyBorder="1" applyAlignment="1">
      <alignment horizontal="center"/>
    </xf>
    <xf numFmtId="4" fontId="15" fillId="0" borderId="1" xfId="1" applyNumberFormat="1" applyFont="1" applyBorder="1"/>
    <xf numFmtId="4" fontId="27" fillId="0" borderId="1" xfId="1" applyNumberFormat="1" applyFont="1" applyBorder="1"/>
    <xf numFmtId="4" fontId="15" fillId="0" borderId="1" xfId="1" applyNumberFormat="1" applyFont="1" applyFill="1" applyBorder="1"/>
    <xf numFmtId="4" fontId="28" fillId="0" borderId="1" xfId="1" applyNumberFormat="1" applyFont="1" applyBorder="1"/>
    <xf numFmtId="0" fontId="39" fillId="0" borderId="2" xfId="0" applyFont="1" applyBorder="1" applyAlignment="1">
      <alignment vertical="top" wrapText="1"/>
    </xf>
    <xf numFmtId="4" fontId="0" fillId="0" borderId="0" xfId="0" applyNumberFormat="1"/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vertical="top" wrapText="1"/>
    </xf>
    <xf numFmtId="0" fontId="28" fillId="0" borderId="1" xfId="0" quotePrefix="1" applyFont="1" applyBorder="1" applyAlignment="1">
      <alignment horizontal="center" vertical="center"/>
    </xf>
    <xf numFmtId="165" fontId="28" fillId="0" borderId="1" xfId="1" applyNumberFormat="1" applyFont="1" applyBorder="1" applyAlignment="1">
      <alignment vertical="top"/>
    </xf>
    <xf numFmtId="0" fontId="17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/>
    </xf>
    <xf numFmtId="0" fontId="16" fillId="0" borderId="3" xfId="0" applyFont="1" applyBorder="1" applyAlignment="1">
      <alignment horizontal="center"/>
    </xf>
    <xf numFmtId="0" fontId="11" fillId="0" borderId="0" xfId="0" applyFont="1"/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43" fontId="13" fillId="0" borderId="1" xfId="1" applyNumberFormat="1" applyFont="1" applyBorder="1"/>
    <xf numFmtId="43" fontId="11" fillId="0" borderId="1" xfId="0" applyNumberFormat="1" applyFont="1" applyBorder="1"/>
    <xf numFmtId="43" fontId="11" fillId="0" borderId="1" xfId="1" applyNumberFormat="1" applyFont="1" applyBorder="1"/>
    <xf numFmtId="43" fontId="11" fillId="0" borderId="1" xfId="1" applyFont="1" applyBorder="1" applyAlignment="1">
      <alignment horizontal="right"/>
    </xf>
    <xf numFmtId="164" fontId="20" fillId="0" borderId="1" xfId="1" applyNumberFormat="1" applyFont="1" applyBorder="1"/>
    <xf numFmtId="164" fontId="17" fillId="0" borderId="1" xfId="1" applyNumberFormat="1" applyFont="1" applyBorder="1"/>
    <xf numFmtId="43" fontId="17" fillId="0" borderId="1" xfId="1" applyFont="1" applyBorder="1"/>
    <xf numFmtId="4" fontId="20" fillId="0" borderId="1" xfId="1" applyNumberFormat="1" applyFont="1" applyBorder="1" applyAlignment="1">
      <alignment horizontal="right"/>
    </xf>
    <xf numFmtId="4" fontId="17" fillId="0" borderId="1" xfId="1" applyNumberFormat="1" applyFont="1" applyBorder="1" applyAlignment="1">
      <alignment horizontal="right"/>
    </xf>
    <xf numFmtId="167" fontId="34" fillId="0" borderId="1" xfId="1" applyNumberFormat="1" applyFont="1" applyBorder="1" applyAlignment="1">
      <alignment horizontal="right"/>
    </xf>
    <xf numFmtId="167" fontId="21" fillId="0" borderId="1" xfId="1" applyNumberFormat="1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49" fontId="12" fillId="0" borderId="1" xfId="0" applyNumberFormat="1" applyFont="1" applyBorder="1"/>
    <xf numFmtId="4" fontId="27" fillId="0" borderId="1" xfId="0" applyNumberFormat="1" applyFont="1" applyBorder="1" applyAlignment="1">
      <alignment horizontal="right"/>
    </xf>
    <xf numFmtId="4" fontId="27" fillId="0" borderId="1" xfId="1" applyNumberFormat="1" applyFont="1" applyBorder="1" applyAlignment="1">
      <alignment horizontal="right"/>
    </xf>
    <xf numFmtId="4" fontId="27" fillId="0" borderId="8" xfId="1" applyNumberFormat="1" applyFont="1" applyBorder="1" applyAlignment="1">
      <alignment horizontal="right"/>
    </xf>
    <xf numFmtId="4" fontId="15" fillId="0" borderId="1" xfId="1" applyNumberFormat="1" applyFont="1" applyBorder="1" applyAlignment="1">
      <alignment horizontal="right"/>
    </xf>
    <xf numFmtId="4" fontId="15" fillId="0" borderId="8" xfId="1" applyNumberFormat="1" applyFont="1" applyBorder="1" applyAlignment="1">
      <alignment horizontal="right"/>
    </xf>
    <xf numFmtId="4" fontId="15" fillId="0" borderId="1" xfId="1" applyNumberFormat="1" applyFont="1" applyFill="1" applyBorder="1" applyAlignment="1">
      <alignment horizontal="right"/>
    </xf>
    <xf numFmtId="167" fontId="27" fillId="0" borderId="1" xfId="1" applyNumberFormat="1" applyFont="1" applyBorder="1" applyAlignment="1">
      <alignment horizontal="right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right" vertical="top" wrapText="1"/>
    </xf>
    <xf numFmtId="0" fontId="16" fillId="0" borderId="0" xfId="0" applyFont="1" applyAlignment="1">
      <alignment horizontal="right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43" fontId="9" fillId="0" borderId="14" xfId="1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43" fontId="9" fillId="0" borderId="17" xfId="1" applyFont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43" fontId="9" fillId="0" borderId="18" xfId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0" fillId="0" borderId="0" xfId="0" applyFont="1"/>
    <xf numFmtId="0" fontId="40" fillId="0" borderId="0" xfId="0" applyFont="1" applyAlignment="1">
      <alignment vertical="center"/>
    </xf>
    <xf numFmtId="43" fontId="9" fillId="0" borderId="14" xfId="1" applyFont="1" applyBorder="1" applyAlignment="1">
      <alignment horizontal="center" vertical="center"/>
    </xf>
    <xf numFmtId="43" fontId="9" fillId="0" borderId="17" xfId="1" applyFont="1" applyBorder="1" applyAlignment="1">
      <alignment horizontal="center" vertical="center"/>
    </xf>
    <xf numFmtId="43" fontId="9" fillId="0" borderId="18" xfId="1" applyFont="1" applyBorder="1" applyAlignment="1">
      <alignment horizontal="center" vertical="center"/>
    </xf>
    <xf numFmtId="43" fontId="9" fillId="0" borderId="1" xfId="1" applyFont="1" applyBorder="1" applyAlignment="1">
      <alignment horizontal="center" vertical="center"/>
    </xf>
    <xf numFmtId="43" fontId="9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42" fillId="0" borderId="0" xfId="0" applyFont="1"/>
    <xf numFmtId="0" fontId="43" fillId="0" borderId="0" xfId="0" applyFont="1" applyAlignment="1">
      <alignment horizontal="center" wrapText="1"/>
    </xf>
    <xf numFmtId="0" fontId="41" fillId="0" borderId="0" xfId="0" applyFont="1" applyAlignment="1">
      <alignment wrapText="1"/>
    </xf>
    <xf numFmtId="0" fontId="28" fillId="0" borderId="0" xfId="0" applyFont="1" applyAlignment="1">
      <alignment horizontal="right"/>
    </xf>
    <xf numFmtId="0" fontId="45" fillId="0" borderId="1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6" fillId="0" borderId="1" xfId="0" applyFont="1" applyBorder="1" applyAlignment="1">
      <alignment wrapText="1"/>
    </xf>
    <xf numFmtId="0" fontId="44" fillId="2" borderId="1" xfId="0" applyFont="1" applyFill="1" applyBorder="1" applyAlignment="1">
      <alignment horizontal="center"/>
    </xf>
    <xf numFmtId="0" fontId="44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168" fontId="11" fillId="0" borderId="1" xfId="1" applyNumberFormat="1" applyFont="1" applyBorder="1"/>
    <xf numFmtId="4" fontId="46" fillId="0" borderId="1" xfId="0" applyNumberFormat="1" applyFont="1" applyBorder="1"/>
    <xf numFmtId="4" fontId="44" fillId="0" borderId="1" xfId="0" applyNumberFormat="1" applyFont="1" applyBorder="1"/>
    <xf numFmtId="168" fontId="13" fillId="0" borderId="1" xfId="1" applyNumberFormat="1" applyFont="1" applyBorder="1"/>
    <xf numFmtId="0" fontId="13" fillId="2" borderId="1" xfId="0" applyFont="1" applyFill="1" applyBorder="1" applyAlignment="1">
      <alignment horizontal="center" vertical="center"/>
    </xf>
    <xf numFmtId="0" fontId="47" fillId="0" borderId="1" xfId="0" applyFont="1" applyBorder="1" applyAlignment="1">
      <alignment horizontal="center"/>
    </xf>
    <xf numFmtId="169" fontId="26" fillId="0" borderId="1" xfId="1" applyNumberFormat="1" applyFont="1" applyBorder="1" applyAlignment="1">
      <alignment horizontal="center"/>
    </xf>
    <xf numFmtId="43" fontId="13" fillId="0" borderId="1" xfId="0" applyNumberFormat="1" applyFont="1" applyBorder="1" applyAlignment="1">
      <alignment vertical="center"/>
    </xf>
    <xf numFmtId="166" fontId="13" fillId="0" borderId="1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right"/>
    </xf>
    <xf numFmtId="0" fontId="9" fillId="0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/>
    </xf>
    <xf numFmtId="168" fontId="9" fillId="0" borderId="1" xfId="1" applyNumberFormat="1" applyFont="1" applyBorder="1"/>
    <xf numFmtId="168" fontId="44" fillId="0" borderId="1" xfId="0" applyNumberFormat="1" applyFont="1" applyBorder="1" applyAlignment="1">
      <alignment vertical="center"/>
    </xf>
    <xf numFmtId="168" fontId="11" fillId="0" borderId="1" xfId="0" applyNumberFormat="1" applyFont="1" applyBorder="1"/>
    <xf numFmtId="168" fontId="13" fillId="0" borderId="1" xfId="0" applyNumberFormat="1" applyFont="1" applyBorder="1"/>
    <xf numFmtId="0" fontId="46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164" fontId="9" fillId="0" borderId="2" xfId="1" applyNumberFormat="1" applyFont="1" applyBorder="1" applyAlignment="1">
      <alignment horizontal="center" vertical="center"/>
    </xf>
    <xf numFmtId="168" fontId="9" fillId="0" borderId="2" xfId="1" applyNumberFormat="1" applyFont="1" applyBorder="1" applyAlignment="1">
      <alignment horizontal="right" vertical="center"/>
    </xf>
    <xf numFmtId="168" fontId="9" fillId="0" borderId="14" xfId="1" applyNumberFormat="1" applyFont="1" applyBorder="1" applyAlignment="1">
      <alignment horizontal="right"/>
    </xf>
    <xf numFmtId="168" fontId="9" fillId="0" borderId="2" xfId="1" applyNumberFormat="1" applyFont="1" applyBorder="1" applyAlignment="1">
      <alignment horizontal="right"/>
    </xf>
    <xf numFmtId="168" fontId="9" fillId="0" borderId="1" xfId="1" applyNumberFormat="1" applyFont="1" applyBorder="1" applyAlignment="1">
      <alignment horizontal="right"/>
    </xf>
    <xf numFmtId="168" fontId="44" fillId="0" borderId="1" xfId="0" applyNumberFormat="1" applyFont="1" applyBorder="1" applyAlignment="1">
      <alignment horizontal="right" vertical="center"/>
    </xf>
    <xf numFmtId="164" fontId="44" fillId="0" borderId="1" xfId="1" applyNumberFormat="1" applyFont="1" applyBorder="1" applyAlignment="1">
      <alignment horizontal="center" vertical="center"/>
    </xf>
    <xf numFmtId="4" fontId="9" fillId="0" borderId="1" xfId="1" applyNumberFormat="1" applyFont="1" applyBorder="1"/>
    <xf numFmtId="4" fontId="0" fillId="0" borderId="1" xfId="0" applyNumberFormat="1" applyBorder="1"/>
    <xf numFmtId="4" fontId="44" fillId="0" borderId="1" xfId="0" applyNumberFormat="1" applyFont="1" applyBorder="1" applyAlignment="1">
      <alignment vertical="center"/>
    </xf>
    <xf numFmtId="43" fontId="0" fillId="0" borderId="1" xfId="1" applyFont="1" applyBorder="1"/>
    <xf numFmtId="43" fontId="11" fillId="0" borderId="1" xfId="1" applyFont="1" applyBorder="1" applyAlignment="1">
      <alignment vertical="center"/>
    </xf>
    <xf numFmtId="43" fontId="13" fillId="0" borderId="1" xfId="1" applyFont="1" applyBorder="1" applyAlignment="1">
      <alignment vertical="center"/>
    </xf>
    <xf numFmtId="167" fontId="28" fillId="0" borderId="1" xfId="1" applyNumberFormat="1" applyFont="1" applyBorder="1" applyAlignment="1">
      <alignment horizontal="right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27" fillId="0" borderId="2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4" xfId="0" quotePrefix="1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43" fontId="15" fillId="0" borderId="2" xfId="0" applyNumberFormat="1" applyFont="1" applyFill="1" applyBorder="1" applyAlignment="1">
      <alignment horizontal="center" vertical="center" wrapText="1"/>
    </xf>
    <xf numFmtId="43" fontId="15" fillId="0" borderId="5" xfId="0" applyNumberFormat="1" applyFont="1" applyFill="1" applyBorder="1" applyAlignment="1">
      <alignment horizontal="center" vertical="center" wrapText="1"/>
    </xf>
    <xf numFmtId="43" fontId="15" fillId="0" borderId="4" xfId="0" applyNumberFormat="1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17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7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6" fillId="0" borderId="3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5" fillId="0" borderId="3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43" fontId="2" fillId="0" borderId="0" xfId="0" applyNumberFormat="1" applyFont="1" applyAlignment="1">
      <alignment horizontal="center"/>
    </xf>
    <xf numFmtId="43" fontId="0" fillId="0" borderId="0" xfId="0" applyNumberFormat="1" applyAlignment="1">
      <alignment horizontal="center"/>
    </xf>
    <xf numFmtId="0" fontId="14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44" fillId="0" borderId="1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wrapText="1"/>
    </xf>
    <xf numFmtId="0" fontId="28" fillId="0" borderId="0" xfId="0" applyFont="1" applyAlignment="1">
      <alignment horizontal="right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43" fontId="11" fillId="0" borderId="0" xfId="0" applyNumberFormat="1" applyFont="1" applyBorder="1" applyAlignment="1">
      <alignment horizontal="right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4" fillId="0" borderId="11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5" fillId="0" borderId="1" xfId="0" applyFont="1" applyBorder="1" applyAlignment="1">
      <alignment horizont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6" fillId="0" borderId="2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3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center" vertical="top" wrapText="1"/>
    </xf>
    <xf numFmtId="0" fontId="38" fillId="0" borderId="8" xfId="0" applyFont="1" applyBorder="1" applyAlignment="1">
      <alignment horizontal="center" vertical="top"/>
    </xf>
    <xf numFmtId="0" fontId="38" fillId="0" borderId="6" xfId="0" applyFont="1" applyBorder="1" applyAlignment="1">
      <alignment horizontal="center" vertical="top"/>
    </xf>
    <xf numFmtId="0" fontId="38" fillId="0" borderId="3" xfId="0" applyFont="1" applyBorder="1" applyAlignment="1">
      <alignment horizontal="center" vertical="top"/>
    </xf>
    <xf numFmtId="0" fontId="35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64" fontId="21" fillId="0" borderId="1" xfId="1" applyNumberFormat="1" applyFont="1" applyBorder="1" applyAlignment="1">
      <alignment horizontal="center" vertical="center"/>
    </xf>
    <xf numFmtId="43" fontId="17" fillId="0" borderId="2" xfId="1" applyFont="1" applyBorder="1" applyAlignment="1">
      <alignment horizontal="center" vertical="center" wrapText="1"/>
    </xf>
    <xf numFmtId="43" fontId="17" fillId="0" borderId="5" xfId="1" applyFont="1" applyBorder="1" applyAlignment="1">
      <alignment horizontal="center" vertical="center" wrapText="1"/>
    </xf>
    <xf numFmtId="43" fontId="17" fillId="0" borderId="4" xfId="1" applyFont="1" applyBorder="1" applyAlignment="1">
      <alignment horizontal="center" vertical="center" wrapText="1"/>
    </xf>
    <xf numFmtId="165" fontId="17" fillId="0" borderId="2" xfId="1" applyNumberFormat="1" applyFont="1" applyBorder="1" applyAlignment="1">
      <alignment horizontal="center" vertical="center"/>
    </xf>
    <xf numFmtId="165" fontId="17" fillId="0" borderId="5" xfId="1" applyNumberFormat="1" applyFont="1" applyBorder="1" applyAlignment="1">
      <alignment horizontal="center" vertical="center"/>
    </xf>
    <xf numFmtId="165" fontId="17" fillId="0" borderId="4" xfId="1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2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colors>
    <mruColors>
      <color rgb="FF561F1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400"/>
              <a:t>Wykonanie dochodów Powiatu Białogardzkiego w I półroczu 2010 roku</a:t>
            </a:r>
          </a:p>
        </c:rich>
      </c:tx>
      <c:layout>
        <c:manualLayout>
          <c:xMode val="edge"/>
          <c:yMode val="edge"/>
          <c:x val="0.16517428605006471"/>
          <c:y val="2.5171624713958809E-2"/>
        </c:manualLayout>
      </c:layout>
      <c:spPr>
        <a:noFill/>
        <a:ln w="25400">
          <a:noFill/>
        </a:ln>
      </c:spPr>
    </c:title>
    <c:view3D>
      <c:hPercent val="149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9253745374989528"/>
          <c:y val="7.075283070132575E-2"/>
          <c:w val="0.65933218651568215"/>
          <c:h val="0.85830945397584624"/>
        </c:manualLayout>
      </c:layout>
      <c:bar3DChart>
        <c:barDir val="col"/>
        <c:grouping val="clustered"/>
        <c:ser>
          <c:idx val="0"/>
          <c:order val="0"/>
          <c:tx>
            <c:v>Plan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dochodów'!$A$3:$A$18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754</c:v>
                </c:pt>
                <c:pt idx="7">
                  <c:v>756</c:v>
                </c:pt>
                <c:pt idx="8">
                  <c:v>758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900</c:v>
                </c:pt>
                <c:pt idx="15">
                  <c:v>926</c:v>
                </c:pt>
              </c:strCache>
            </c:strRef>
          </c:cat>
          <c:val>
            <c:numRef>
              <c:f>'wykres dochodów'!$B$3:$B$18</c:f>
              <c:numCache>
                <c:formatCode>_-* #,##0\ _z_ł_-;\-* #,##0\ _z_ł_-;_-* "-"??\ _z_ł_-;_-@_-</c:formatCode>
                <c:ptCount val="16"/>
                <c:pt idx="0">
                  <c:v>125000</c:v>
                </c:pt>
                <c:pt idx="1">
                  <c:v>260000</c:v>
                </c:pt>
                <c:pt idx="2">
                  <c:v>2073890.03</c:v>
                </c:pt>
                <c:pt idx="3">
                  <c:v>321600</c:v>
                </c:pt>
                <c:pt idx="4">
                  <c:v>365173</c:v>
                </c:pt>
                <c:pt idx="5">
                  <c:v>2795530.82</c:v>
                </c:pt>
                <c:pt idx="6">
                  <c:v>3607275</c:v>
                </c:pt>
                <c:pt idx="7">
                  <c:v>5873797</c:v>
                </c:pt>
                <c:pt idx="8">
                  <c:v>28171325</c:v>
                </c:pt>
                <c:pt idx="9">
                  <c:v>711182.39</c:v>
                </c:pt>
                <c:pt idx="10">
                  <c:v>3649610.69</c:v>
                </c:pt>
                <c:pt idx="11">
                  <c:v>4445286.76</c:v>
                </c:pt>
                <c:pt idx="12">
                  <c:v>2257748.13</c:v>
                </c:pt>
                <c:pt idx="13">
                  <c:v>476454.48</c:v>
                </c:pt>
                <c:pt idx="14">
                  <c:v>266916</c:v>
                </c:pt>
                <c:pt idx="15">
                  <c:v>666000</c:v>
                </c:pt>
              </c:numCache>
            </c:numRef>
          </c:val>
        </c:ser>
        <c:ser>
          <c:idx val="1"/>
          <c:order val="1"/>
          <c:tx>
            <c:v>Wykonanie</c:v>
          </c:tx>
          <c:spPr>
            <a:solidFill>
              <a:srgbClr val="00B05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dochodów'!$A$3:$A$18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754</c:v>
                </c:pt>
                <c:pt idx="7">
                  <c:v>756</c:v>
                </c:pt>
                <c:pt idx="8">
                  <c:v>758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900</c:v>
                </c:pt>
                <c:pt idx="15">
                  <c:v>926</c:v>
                </c:pt>
              </c:strCache>
            </c:strRef>
          </c:cat>
          <c:val>
            <c:numRef>
              <c:f>'wykres dochodów'!$C$3:$C$18</c:f>
              <c:numCache>
                <c:formatCode>_-* #,##0.00\ _z_ł_-;\-* #,##0.00\ _z_ł_-;_-* "-"??\ _z_ł_-;_-@_-</c:formatCode>
                <c:ptCount val="16"/>
                <c:pt idx="0">
                  <c:v>4045.36</c:v>
                </c:pt>
                <c:pt idx="1">
                  <c:v>123664.79</c:v>
                </c:pt>
                <c:pt idx="2">
                  <c:v>48932.68</c:v>
                </c:pt>
                <c:pt idx="3">
                  <c:v>120309.49</c:v>
                </c:pt>
                <c:pt idx="4">
                  <c:v>152111.57</c:v>
                </c:pt>
                <c:pt idx="5">
                  <c:v>172245.85</c:v>
                </c:pt>
                <c:pt idx="6">
                  <c:v>1848770.89</c:v>
                </c:pt>
                <c:pt idx="7">
                  <c:v>2810073.06</c:v>
                </c:pt>
                <c:pt idx="8">
                  <c:v>16128876.43</c:v>
                </c:pt>
                <c:pt idx="9">
                  <c:v>262342.88</c:v>
                </c:pt>
                <c:pt idx="10">
                  <c:v>1153000</c:v>
                </c:pt>
                <c:pt idx="11">
                  <c:v>2205247.54</c:v>
                </c:pt>
                <c:pt idx="12">
                  <c:v>1755870.5</c:v>
                </c:pt>
                <c:pt idx="13">
                  <c:v>64188.13</c:v>
                </c:pt>
                <c:pt idx="14">
                  <c:v>218316.46</c:v>
                </c:pt>
                <c:pt idx="15">
                  <c:v>0</c:v>
                </c:pt>
              </c:numCache>
            </c:numRef>
          </c:val>
        </c:ser>
        <c:shape val="box"/>
        <c:axId val="65861504"/>
        <c:axId val="65863040"/>
        <c:axId val="0"/>
      </c:bar3DChart>
      <c:catAx>
        <c:axId val="658615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5863040"/>
        <c:crosses val="autoZero"/>
        <c:auto val="1"/>
        <c:lblAlgn val="ctr"/>
        <c:lblOffset val="100"/>
        <c:tickLblSkip val="1"/>
        <c:tickMarkSkip val="1"/>
      </c:catAx>
      <c:valAx>
        <c:axId val="658630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z_ł_-;\-* #,##0\ _z_ł_-;_-* &quot;-&quot;??\ _z_ł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5861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5141752305920644"/>
          <c:y val="0.9064248800653818"/>
          <c:w val="0.19824704541414812"/>
          <c:h val="4.462245055870250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pl-PL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0.98425196850393659" l="0.74803149606299879" r="0.15748031496063147" t="0.98425196850393659" header="0.51181102362204722" footer="0.51181102362204722"/>
    <c:pageSetup paperSize="9" orientation="portrait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200"/>
              <a:t>Wykonanie wydatków Powiatu Białogardzkiego </a:t>
            </a:r>
          </a:p>
          <a:p>
            <a:pPr>
              <a:defRPr sz="12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200"/>
              <a:t>w I półroczu 2010 r.</a:t>
            </a:r>
          </a:p>
        </c:rich>
      </c:tx>
      <c:layout>
        <c:manualLayout>
          <c:xMode val="edge"/>
          <c:yMode val="edge"/>
          <c:x val="0.18704672041615464"/>
          <c:y val="2.5531972437871552E-2"/>
        </c:manualLayout>
      </c:layout>
      <c:spPr>
        <a:noFill/>
        <a:ln w="25400">
          <a:noFill/>
        </a:ln>
      </c:spPr>
    </c:title>
    <c:view3D>
      <c:hPercent val="14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3185204261001535"/>
          <c:y val="7.6595784468388703E-2"/>
          <c:w val="0.72148252529300538"/>
          <c:h val="0.83936213813275162"/>
        </c:manualLayout>
      </c:layout>
      <c:bar3DChart>
        <c:barDir val="col"/>
        <c:grouping val="clustered"/>
        <c:ser>
          <c:idx val="0"/>
          <c:order val="0"/>
          <c:tx>
            <c:v>Plan</c:v>
          </c:tx>
          <c:spPr>
            <a:solidFill>
              <a:schemeClr val="accent4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wydatków'!$A$2:$A$77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150</c:v>
                </c:pt>
                <c:pt idx="3">
                  <c:v>600</c:v>
                </c:pt>
                <c:pt idx="4">
                  <c:v>700</c:v>
                </c:pt>
                <c:pt idx="5">
                  <c:v>710</c:v>
                </c:pt>
                <c:pt idx="6">
                  <c:v>750</c:v>
                </c:pt>
                <c:pt idx="7">
                  <c:v>754</c:v>
                </c:pt>
                <c:pt idx="8">
                  <c:v>757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921</c:v>
                </c:pt>
                <c:pt idx="15">
                  <c:v>926</c:v>
                </c:pt>
              </c:strCache>
            </c:strRef>
          </c:cat>
          <c:val>
            <c:numRef>
              <c:f>'wykres wydatków'!$D$2:$D$77</c:f>
              <c:numCache>
                <c:formatCode>_-* #,##0\ _z_ł_-;\-* #,##0\ _z_ł_-;_-* "-"??\ _z_ł_-;_-@_-</c:formatCode>
                <c:ptCount val="16"/>
                <c:pt idx="0">
                  <c:v>125294</c:v>
                </c:pt>
                <c:pt idx="1">
                  <c:v>295000</c:v>
                </c:pt>
                <c:pt idx="2">
                  <c:v>1520</c:v>
                </c:pt>
                <c:pt idx="3">
                  <c:v>8561405.0899999999</c:v>
                </c:pt>
                <c:pt idx="4">
                  <c:v>361092.34</c:v>
                </c:pt>
                <c:pt idx="5">
                  <c:v>365173</c:v>
                </c:pt>
                <c:pt idx="6">
                  <c:v>9005901.25</c:v>
                </c:pt>
                <c:pt idx="7">
                  <c:v>4073112</c:v>
                </c:pt>
                <c:pt idx="8">
                  <c:v>572174</c:v>
                </c:pt>
                <c:pt idx="9">
                  <c:v>18938776.57</c:v>
                </c:pt>
                <c:pt idx="10">
                  <c:v>6254174.9000000004</c:v>
                </c:pt>
                <c:pt idx="11">
                  <c:v>9336288.3599999994</c:v>
                </c:pt>
                <c:pt idx="12">
                  <c:v>4002471.71</c:v>
                </c:pt>
                <c:pt idx="13">
                  <c:v>5734995.2699999996</c:v>
                </c:pt>
                <c:pt idx="14">
                  <c:v>216500</c:v>
                </c:pt>
                <c:pt idx="15">
                  <c:v>2614707</c:v>
                </c:pt>
              </c:numCache>
            </c:numRef>
          </c:val>
        </c:ser>
        <c:ser>
          <c:idx val="1"/>
          <c:order val="1"/>
          <c:tx>
            <c:v>Wykonanie</c:v>
          </c:tx>
          <c:spPr>
            <a:solidFill>
              <a:srgbClr val="92D05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wydatków'!$A$2:$A$77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150</c:v>
                </c:pt>
                <c:pt idx="3">
                  <c:v>600</c:v>
                </c:pt>
                <c:pt idx="4">
                  <c:v>700</c:v>
                </c:pt>
                <c:pt idx="5">
                  <c:v>710</c:v>
                </c:pt>
                <c:pt idx="6">
                  <c:v>750</c:v>
                </c:pt>
                <c:pt idx="7">
                  <c:v>754</c:v>
                </c:pt>
                <c:pt idx="8">
                  <c:v>757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921</c:v>
                </c:pt>
                <c:pt idx="15">
                  <c:v>926</c:v>
                </c:pt>
              </c:strCache>
            </c:strRef>
          </c:cat>
          <c:val>
            <c:numRef>
              <c:f>'wykres wydatków'!$E$2:$E$77</c:f>
              <c:numCache>
                <c:formatCode>_-* #,##0\ _z_ł_-;\-* #,##0\ _z_ł_-;_-* "-"??\ _z_ł_-;_-@_-</c:formatCode>
                <c:ptCount val="16"/>
                <c:pt idx="0">
                  <c:v>4259</c:v>
                </c:pt>
                <c:pt idx="1">
                  <c:v>132232.38</c:v>
                </c:pt>
                <c:pt idx="2">
                  <c:v>1519.73</c:v>
                </c:pt>
                <c:pt idx="3">
                  <c:v>1649291.71</c:v>
                </c:pt>
                <c:pt idx="4">
                  <c:v>138522.95000000001</c:v>
                </c:pt>
                <c:pt idx="5">
                  <c:v>149685.07999999999</c:v>
                </c:pt>
                <c:pt idx="6">
                  <c:v>3454726.98</c:v>
                </c:pt>
                <c:pt idx="7">
                  <c:v>1519163.52</c:v>
                </c:pt>
                <c:pt idx="8">
                  <c:v>182285.9</c:v>
                </c:pt>
                <c:pt idx="9">
                  <c:v>7937368.3899999997</c:v>
                </c:pt>
                <c:pt idx="10">
                  <c:v>1195084.1399999999</c:v>
                </c:pt>
                <c:pt idx="11">
                  <c:v>4055050.26</c:v>
                </c:pt>
                <c:pt idx="12">
                  <c:v>2235199.25</c:v>
                </c:pt>
                <c:pt idx="13">
                  <c:v>2224082.5499999998</c:v>
                </c:pt>
                <c:pt idx="14">
                  <c:v>39500</c:v>
                </c:pt>
                <c:pt idx="15">
                  <c:v>87556.51</c:v>
                </c:pt>
              </c:numCache>
            </c:numRef>
          </c:val>
        </c:ser>
        <c:shape val="box"/>
        <c:axId val="50820224"/>
        <c:axId val="50821760"/>
        <c:axId val="0"/>
      </c:bar3DChart>
      <c:catAx>
        <c:axId val="508202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50821760"/>
        <c:crosses val="autoZero"/>
        <c:auto val="1"/>
        <c:lblAlgn val="ctr"/>
        <c:lblOffset val="100"/>
        <c:tickLblSkip val="1"/>
        <c:tickMarkSkip val="1"/>
      </c:catAx>
      <c:valAx>
        <c:axId val="508217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z_ł_-;\-* #,##0\ _z_ł_-;_-* &quot;-&quot;??\ _z_ł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5082022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3780230926705412E-2"/>
          <c:y val="0.94365742202051406"/>
          <c:w val="0.36136927171832722"/>
          <c:h val="4.437851010768833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pl-PL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>
      <c:oddFooter>&amp;R&amp;7Wykres wydatków Powiatu Białogardzkiego w I półroczu 2010r.</c:oddFooter>
    </c:headerFooter>
    <c:pageMargins b="1" l="0.18000000000000024" r="0.22" t="1" header="0.5" footer="0.5"/>
    <c:pageSetup paperSize="9" orientation="portrait" horizont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3905249</xdr:colOff>
      <xdr:row>82</xdr:row>
      <xdr:rowOff>158749</xdr:rowOff>
    </xdr:to>
    <xdr:graphicFrame macro="">
      <xdr:nvGraphicFramePr>
        <xdr:cNvPr id="512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19051</xdr:rowOff>
    </xdr:from>
    <xdr:to>
      <xdr:col>9</xdr:col>
      <xdr:colOff>952501</xdr:colOff>
      <xdr:row>92</xdr:row>
      <xdr:rowOff>28576</xdr:rowOff>
    </xdr:to>
    <xdr:graphicFrame macro="">
      <xdr:nvGraphicFramePr>
        <xdr:cNvPr id="2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BRD_5/Moje%20dokumenty/bud&#380;et%202010/Tabele2010nowestycze&#32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 1"/>
      <sheetName val="wykres1"/>
      <sheetName val="tab 2"/>
      <sheetName val="wykres2"/>
      <sheetName val="tab3"/>
      <sheetName val="tab 4"/>
      <sheetName val="tab 5"/>
      <sheetName val="tab 6"/>
      <sheetName val="tab 7-8"/>
      <sheetName val="tab 9-10"/>
      <sheetName val="tab11"/>
      <sheetName val="tab12"/>
      <sheetName val="tab13"/>
      <sheetName val="tab14"/>
      <sheetName val="zał 15"/>
      <sheetName val="zał1"/>
      <sheetName val="zał2"/>
      <sheetName val="Arkusz1"/>
    </sheetNames>
    <sheetDataSet>
      <sheetData sheetId="0"/>
      <sheetData sheetId="1"/>
      <sheetData sheetId="2">
        <row r="199">
          <cell r="F199">
            <v>35000</v>
          </cell>
        </row>
        <row r="446">
          <cell r="F446">
            <v>6743</v>
          </cell>
        </row>
        <row r="768">
          <cell r="E768">
            <v>1500000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0"/>
  <sheetViews>
    <sheetView view="pageLayout" workbookViewId="0">
      <selection activeCell="D55" sqref="D55"/>
    </sheetView>
  </sheetViews>
  <sheetFormatPr defaultRowHeight="12.75"/>
  <cols>
    <col min="1" max="1" width="3.85546875" customWidth="1"/>
    <col min="2" max="2" width="5.28515625" customWidth="1"/>
    <col min="3" max="3" width="4.28515625" customWidth="1"/>
    <col min="4" max="4" width="30.140625" customWidth="1"/>
    <col min="5" max="5" width="12.7109375" style="316" customWidth="1"/>
    <col min="6" max="6" width="13.28515625" style="37" customWidth="1"/>
    <col min="7" max="7" width="12.5703125" style="37" customWidth="1"/>
    <col min="8" max="8" width="7" customWidth="1"/>
    <col min="9" max="9" width="6.140625" customWidth="1"/>
  </cols>
  <sheetData>
    <row r="1" spans="1:8">
      <c r="A1" s="42"/>
      <c r="B1" s="42"/>
      <c r="C1" s="42"/>
      <c r="D1" s="483" t="s">
        <v>354</v>
      </c>
      <c r="E1" s="483"/>
      <c r="F1" s="483"/>
      <c r="G1" s="483"/>
      <c r="H1" s="483"/>
    </row>
    <row r="2" spans="1:8">
      <c r="A2" s="484" t="s">
        <v>2</v>
      </c>
      <c r="B2" s="484"/>
      <c r="C2" s="484"/>
      <c r="D2" s="484"/>
      <c r="E2" s="484"/>
      <c r="F2" s="484"/>
      <c r="G2" s="484"/>
      <c r="H2" s="484"/>
    </row>
    <row r="3" spans="1:8">
      <c r="A3" s="484" t="s">
        <v>3</v>
      </c>
      <c r="B3" s="484"/>
      <c r="C3" s="484"/>
      <c r="D3" s="484"/>
      <c r="E3" s="484"/>
      <c r="F3" s="484"/>
      <c r="G3" s="484"/>
      <c r="H3" s="484"/>
    </row>
    <row r="4" spans="1:8">
      <c r="A4" s="484" t="s">
        <v>4</v>
      </c>
      <c r="B4" s="484"/>
      <c r="C4" s="484"/>
      <c r="D4" s="484"/>
      <c r="E4" s="484"/>
      <c r="F4" s="484"/>
      <c r="G4" s="484"/>
      <c r="H4" s="484"/>
    </row>
    <row r="5" spans="1:8">
      <c r="A5" s="484" t="s">
        <v>306</v>
      </c>
      <c r="B5" s="484"/>
      <c r="C5" s="484"/>
      <c r="D5" s="484"/>
      <c r="E5" s="484"/>
      <c r="F5" s="484"/>
      <c r="G5" s="484"/>
      <c r="H5" s="484"/>
    </row>
    <row r="6" spans="1:8">
      <c r="A6" s="42"/>
      <c r="B6" s="42"/>
      <c r="C6" s="42"/>
      <c r="D6" s="42"/>
      <c r="E6" s="315"/>
      <c r="F6" s="44"/>
      <c r="G6" s="172" t="s">
        <v>154</v>
      </c>
    </row>
    <row r="7" spans="1:8" s="108" customFormat="1" ht="11.25">
      <c r="A7" s="460" t="s">
        <v>0</v>
      </c>
      <c r="B7" s="460" t="s">
        <v>68</v>
      </c>
      <c r="C7" s="460" t="s">
        <v>69</v>
      </c>
      <c r="D7" s="460" t="s">
        <v>1</v>
      </c>
      <c r="E7" s="488" t="s">
        <v>176</v>
      </c>
      <c r="F7" s="477" t="s">
        <v>134</v>
      </c>
      <c r="G7" s="478"/>
      <c r="H7" s="485" t="s">
        <v>135</v>
      </c>
    </row>
    <row r="8" spans="1:8" s="108" customFormat="1" ht="16.5" customHeight="1">
      <c r="A8" s="461"/>
      <c r="B8" s="461"/>
      <c r="C8" s="461"/>
      <c r="D8" s="461"/>
      <c r="E8" s="489"/>
      <c r="F8" s="480" t="s">
        <v>259</v>
      </c>
      <c r="G8" s="479" t="s">
        <v>260</v>
      </c>
      <c r="H8" s="486"/>
    </row>
    <row r="9" spans="1:8" s="108" customFormat="1" ht="11.25">
      <c r="A9" s="462"/>
      <c r="B9" s="462"/>
      <c r="C9" s="462"/>
      <c r="D9" s="462"/>
      <c r="E9" s="490"/>
      <c r="F9" s="480"/>
      <c r="G9" s="479"/>
      <c r="H9" s="487"/>
    </row>
    <row r="10" spans="1:8" s="108" customFormat="1" ht="11.25">
      <c r="A10" s="58">
        <v>1</v>
      </c>
      <c r="B10" s="58">
        <v>2</v>
      </c>
      <c r="C10" s="58">
        <v>3</v>
      </c>
      <c r="D10" s="58">
        <v>4</v>
      </c>
      <c r="E10" s="321">
        <v>5</v>
      </c>
      <c r="F10" s="107">
        <v>6</v>
      </c>
      <c r="G10" s="107">
        <v>7</v>
      </c>
      <c r="H10" s="58">
        <v>8</v>
      </c>
    </row>
    <row r="11" spans="1:8" s="86" customFormat="1" ht="12">
      <c r="A11" s="193" t="s">
        <v>19</v>
      </c>
      <c r="B11" s="198"/>
      <c r="C11" s="194"/>
      <c r="D11" s="195" t="s">
        <v>33</v>
      </c>
      <c r="E11" s="322">
        <f>E12+E14</f>
        <v>125000</v>
      </c>
      <c r="F11" s="331">
        <f>F12+F14</f>
        <v>4045.36</v>
      </c>
      <c r="G11" s="331">
        <f>G12</f>
        <v>0</v>
      </c>
      <c r="H11" s="256">
        <f>(F11+G11)/E11*100</f>
        <v>3.2362880000000005</v>
      </c>
    </row>
    <row r="12" spans="1:8" s="86" customFormat="1" ht="22.5">
      <c r="A12" s="460" t="s">
        <v>18</v>
      </c>
      <c r="B12" s="197" t="s">
        <v>54</v>
      </c>
      <c r="C12" s="263"/>
      <c r="D12" s="255" t="s">
        <v>70</v>
      </c>
      <c r="E12" s="323">
        <f>E13</f>
        <v>125000</v>
      </c>
      <c r="F12" s="332">
        <f>F13</f>
        <v>3965</v>
      </c>
      <c r="G12" s="332">
        <v>0</v>
      </c>
      <c r="H12" s="258">
        <f>(F12+G12)/E12*100</f>
        <v>3.1719999999999997</v>
      </c>
    </row>
    <row r="13" spans="1:8" s="86" customFormat="1" ht="34.5" customHeight="1">
      <c r="A13" s="461"/>
      <c r="B13" s="263"/>
      <c r="C13" s="263">
        <v>2110</v>
      </c>
      <c r="D13" s="151" t="s">
        <v>71</v>
      </c>
      <c r="E13" s="323">
        <v>125000</v>
      </c>
      <c r="F13" s="332">
        <v>3965</v>
      </c>
      <c r="G13" s="340">
        <v>0</v>
      </c>
      <c r="H13" s="258">
        <f t="shared" ref="H13:H75" si="0">(F13+G13)/E13*100</f>
        <v>3.1719999999999997</v>
      </c>
    </row>
    <row r="14" spans="1:8" s="86" customFormat="1" ht="12">
      <c r="A14" s="461"/>
      <c r="B14" s="197" t="s">
        <v>127</v>
      </c>
      <c r="C14" s="313"/>
      <c r="D14" s="151" t="s">
        <v>128</v>
      </c>
      <c r="E14" s="323">
        <f>E15</f>
        <v>0</v>
      </c>
      <c r="F14" s="332">
        <f>F15</f>
        <v>80.36</v>
      </c>
      <c r="G14" s="340">
        <v>0</v>
      </c>
      <c r="H14" s="258"/>
    </row>
    <row r="15" spans="1:8" s="86" customFormat="1" ht="34.5" customHeight="1">
      <c r="A15" s="462"/>
      <c r="B15" s="313"/>
      <c r="C15" s="313">
        <v>2360</v>
      </c>
      <c r="D15" s="151" t="s">
        <v>138</v>
      </c>
      <c r="E15" s="323">
        <v>0</v>
      </c>
      <c r="F15" s="332">
        <v>80.36</v>
      </c>
      <c r="G15" s="340">
        <v>0</v>
      </c>
      <c r="H15" s="258"/>
    </row>
    <row r="16" spans="1:8" s="86" customFormat="1" ht="12">
      <c r="A16" s="198" t="s">
        <v>20</v>
      </c>
      <c r="B16" s="200"/>
      <c r="C16" s="200"/>
      <c r="D16" s="201" t="s">
        <v>34</v>
      </c>
      <c r="E16" s="322">
        <f>E19</f>
        <v>260000</v>
      </c>
      <c r="F16" s="331">
        <f>F17</f>
        <v>123664.79000000001</v>
      </c>
      <c r="G16" s="331">
        <v>0</v>
      </c>
      <c r="H16" s="259">
        <f t="shared" si="0"/>
        <v>47.563380769230776</v>
      </c>
    </row>
    <row r="17" spans="1:8" s="86" customFormat="1" ht="12">
      <c r="A17" s="468" t="s">
        <v>18</v>
      </c>
      <c r="B17" s="197" t="s">
        <v>72</v>
      </c>
      <c r="C17" s="263"/>
      <c r="D17" s="151" t="s">
        <v>73</v>
      </c>
      <c r="E17" s="323">
        <f>E19+E18</f>
        <v>260000</v>
      </c>
      <c r="F17" s="332">
        <f>F19+F18</f>
        <v>123664.79000000001</v>
      </c>
      <c r="G17" s="340">
        <v>0</v>
      </c>
      <c r="H17" s="258">
        <f t="shared" si="0"/>
        <v>47.563380769230776</v>
      </c>
    </row>
    <row r="18" spans="1:8" s="86" customFormat="1" ht="12">
      <c r="A18" s="468"/>
      <c r="B18" s="481"/>
      <c r="C18" s="197" t="s">
        <v>62</v>
      </c>
      <c r="D18" s="151" t="s">
        <v>64</v>
      </c>
      <c r="E18" s="323">
        <v>0</v>
      </c>
      <c r="F18" s="332">
        <v>1016.91</v>
      </c>
      <c r="G18" s="340">
        <v>0</v>
      </c>
      <c r="H18" s="258"/>
    </row>
    <row r="19" spans="1:8" s="86" customFormat="1" ht="33" customHeight="1">
      <c r="A19" s="468"/>
      <c r="B19" s="482"/>
      <c r="C19" s="263">
        <v>2460</v>
      </c>
      <c r="D19" s="151" t="s">
        <v>74</v>
      </c>
      <c r="E19" s="323">
        <v>260000</v>
      </c>
      <c r="F19" s="332">
        <v>122647.88</v>
      </c>
      <c r="G19" s="340">
        <v>0</v>
      </c>
      <c r="H19" s="258">
        <f t="shared" si="0"/>
        <v>47.172261538461541</v>
      </c>
    </row>
    <row r="20" spans="1:8" s="86" customFormat="1" ht="12">
      <c r="A20" s="200">
        <v>600</v>
      </c>
      <c r="B20" s="200"/>
      <c r="C20" s="200"/>
      <c r="D20" s="201" t="s">
        <v>75</v>
      </c>
      <c r="E20" s="322">
        <f>E21+E26</f>
        <v>2073890.03</v>
      </c>
      <c r="F20" s="331">
        <f>F21+F26</f>
        <v>48932.680000000008</v>
      </c>
      <c r="G20" s="331">
        <v>0</v>
      </c>
      <c r="H20" s="259">
        <f t="shared" si="0"/>
        <v>2.3594635825507106</v>
      </c>
    </row>
    <row r="21" spans="1:8" s="86" customFormat="1" ht="12">
      <c r="A21" s="460"/>
      <c r="B21" s="263">
        <v>60014</v>
      </c>
      <c r="C21" s="263"/>
      <c r="D21" s="151" t="s">
        <v>45</v>
      </c>
      <c r="E21" s="257">
        <f>SUM(E22:E25)</f>
        <v>2073890.03</v>
      </c>
      <c r="F21" s="332">
        <f>SUM(F22:F25)</f>
        <v>47286.520000000004</v>
      </c>
      <c r="G21" s="340">
        <v>0</v>
      </c>
      <c r="H21" s="258">
        <f t="shared" si="0"/>
        <v>2.2800881105542516</v>
      </c>
    </row>
    <row r="22" spans="1:8" s="86" customFormat="1" ht="22.5">
      <c r="A22" s="461"/>
      <c r="B22" s="460"/>
      <c r="C22" s="197" t="s">
        <v>250</v>
      </c>
      <c r="D22" s="151" t="s">
        <v>255</v>
      </c>
      <c r="E22" s="323">
        <v>0</v>
      </c>
      <c r="F22" s="332">
        <v>93.33</v>
      </c>
      <c r="G22" s="340">
        <v>0</v>
      </c>
      <c r="H22" s="258"/>
    </row>
    <row r="23" spans="1:8" s="86" customFormat="1" ht="12">
      <c r="A23" s="461"/>
      <c r="B23" s="461"/>
      <c r="C23" s="197" t="s">
        <v>55</v>
      </c>
      <c r="D23" s="151" t="s">
        <v>65</v>
      </c>
      <c r="E23" s="323">
        <v>500</v>
      </c>
      <c r="F23" s="332">
        <v>1267.8900000000001</v>
      </c>
      <c r="G23" s="340">
        <v>0</v>
      </c>
      <c r="H23" s="258">
        <f t="shared" si="0"/>
        <v>253.57800000000003</v>
      </c>
    </row>
    <row r="24" spans="1:8" s="86" customFormat="1" ht="12">
      <c r="A24" s="461"/>
      <c r="B24" s="461"/>
      <c r="C24" s="197" t="s">
        <v>62</v>
      </c>
      <c r="D24" s="151" t="s">
        <v>64</v>
      </c>
      <c r="E24" s="323">
        <f>24873+21000</f>
        <v>45873</v>
      </c>
      <c r="F24" s="332">
        <v>45925.3</v>
      </c>
      <c r="G24" s="340">
        <v>0</v>
      </c>
      <c r="H24" s="258">
        <f t="shared" si="0"/>
        <v>100.11401042007282</v>
      </c>
    </row>
    <row r="25" spans="1:8" s="86" customFormat="1" ht="67.5">
      <c r="A25" s="461"/>
      <c r="B25" s="462"/>
      <c r="C25" s="197">
        <v>6207</v>
      </c>
      <c r="D25" s="151" t="s">
        <v>297</v>
      </c>
      <c r="E25" s="323">
        <v>2027517.03</v>
      </c>
      <c r="F25" s="332">
        <v>0</v>
      </c>
      <c r="G25" s="340">
        <v>0</v>
      </c>
      <c r="H25" s="258">
        <f t="shared" si="0"/>
        <v>0</v>
      </c>
    </row>
    <row r="26" spans="1:8" s="86" customFormat="1" ht="12">
      <c r="A26" s="461"/>
      <c r="B26" s="312">
        <v>60016</v>
      </c>
      <c r="C26" s="197"/>
      <c r="D26" s="151" t="s">
        <v>270</v>
      </c>
      <c r="E26" s="323">
        <v>0</v>
      </c>
      <c r="F26" s="332">
        <f>F27</f>
        <v>1646.16</v>
      </c>
      <c r="G26" s="340">
        <v>0</v>
      </c>
      <c r="H26" s="258"/>
    </row>
    <row r="27" spans="1:8" s="86" customFormat="1" ht="67.5">
      <c r="A27" s="462"/>
      <c r="B27" s="312"/>
      <c r="C27" s="197">
        <v>2910</v>
      </c>
      <c r="D27" s="151" t="s">
        <v>298</v>
      </c>
      <c r="E27" s="323">
        <v>0</v>
      </c>
      <c r="F27" s="332">
        <v>1646.16</v>
      </c>
      <c r="G27" s="340">
        <v>0</v>
      </c>
      <c r="H27" s="258"/>
    </row>
    <row r="28" spans="1:8" s="86" customFormat="1" ht="12">
      <c r="A28" s="200">
        <v>700</v>
      </c>
      <c r="B28" s="200"/>
      <c r="C28" s="200"/>
      <c r="D28" s="201" t="s">
        <v>35</v>
      </c>
      <c r="E28" s="322">
        <f>E29</f>
        <v>321600</v>
      </c>
      <c r="F28" s="331">
        <f>F29</f>
        <v>109567.23999999999</v>
      </c>
      <c r="G28" s="331">
        <f>G29</f>
        <v>10742.25</v>
      </c>
      <c r="H28" s="259">
        <f t="shared" si="0"/>
        <v>37.409667288557216</v>
      </c>
    </row>
    <row r="29" spans="1:8" s="86" customFormat="1" ht="12">
      <c r="A29" s="468" t="s">
        <v>18</v>
      </c>
      <c r="B29" s="263">
        <v>70005</v>
      </c>
      <c r="C29" s="263"/>
      <c r="D29" s="151" t="s">
        <v>76</v>
      </c>
      <c r="E29" s="323">
        <f>SUM(E30:E37)</f>
        <v>321600</v>
      </c>
      <c r="F29" s="332">
        <f>SUM(F30:F37)</f>
        <v>109567.23999999999</v>
      </c>
      <c r="G29" s="332">
        <f>SUM(G30:G37)</f>
        <v>10742.25</v>
      </c>
      <c r="H29" s="258">
        <f t="shared" si="0"/>
        <v>37.409667288557216</v>
      </c>
    </row>
    <row r="30" spans="1:8" s="86" customFormat="1" ht="22.5" customHeight="1">
      <c r="A30" s="468"/>
      <c r="B30" s="468"/>
      <c r="C30" s="197" t="s">
        <v>26</v>
      </c>
      <c r="D30" s="151" t="s">
        <v>29</v>
      </c>
      <c r="E30" s="323">
        <v>3600</v>
      </c>
      <c r="F30" s="332">
        <v>6080.02</v>
      </c>
      <c r="G30" s="332">
        <v>0</v>
      </c>
      <c r="H30" s="258">
        <f t="shared" si="0"/>
        <v>168.88944444444445</v>
      </c>
    </row>
    <row r="31" spans="1:8" s="86" customFormat="1" ht="45" customHeight="1">
      <c r="A31" s="468"/>
      <c r="B31" s="468"/>
      <c r="C31" s="197" t="s">
        <v>27</v>
      </c>
      <c r="D31" s="151" t="s">
        <v>185</v>
      </c>
      <c r="E31" s="323">
        <v>33000</v>
      </c>
      <c r="F31" s="332">
        <v>14061.96</v>
      </c>
      <c r="G31" s="332">
        <v>0</v>
      </c>
      <c r="H31" s="258">
        <f t="shared" si="0"/>
        <v>42.612000000000002</v>
      </c>
    </row>
    <row r="32" spans="1:8" s="86" customFormat="1" ht="33.75">
      <c r="A32" s="468"/>
      <c r="B32" s="468"/>
      <c r="C32" s="197" t="s">
        <v>28</v>
      </c>
      <c r="D32" s="151" t="s">
        <v>66</v>
      </c>
      <c r="E32" s="323">
        <v>200000</v>
      </c>
      <c r="F32" s="332">
        <v>0</v>
      </c>
      <c r="G32" s="332">
        <v>10742.25</v>
      </c>
      <c r="H32" s="258">
        <f t="shared" si="0"/>
        <v>5.3711250000000001</v>
      </c>
    </row>
    <row r="33" spans="1:8" s="86" customFormat="1" ht="22.5">
      <c r="A33" s="468"/>
      <c r="B33" s="468"/>
      <c r="C33" s="197" t="s">
        <v>250</v>
      </c>
      <c r="D33" s="151" t="s">
        <v>255</v>
      </c>
      <c r="E33" s="323">
        <v>0</v>
      </c>
      <c r="F33" s="332">
        <v>15.6</v>
      </c>
      <c r="G33" s="332">
        <v>0</v>
      </c>
      <c r="H33" s="258"/>
    </row>
    <row r="34" spans="1:8" s="86" customFormat="1" ht="12">
      <c r="A34" s="468"/>
      <c r="B34" s="468"/>
      <c r="C34" s="197" t="s">
        <v>55</v>
      </c>
      <c r="D34" s="151" t="s">
        <v>65</v>
      </c>
      <c r="E34" s="323">
        <v>0</v>
      </c>
      <c r="F34" s="332">
        <v>2219.83</v>
      </c>
      <c r="G34" s="332">
        <v>0</v>
      </c>
      <c r="H34" s="258"/>
    </row>
    <row r="35" spans="1:8" s="86" customFormat="1" ht="12">
      <c r="A35" s="468"/>
      <c r="B35" s="468"/>
      <c r="C35" s="197" t="s">
        <v>62</v>
      </c>
      <c r="D35" s="151" t="s">
        <v>64</v>
      </c>
      <c r="E35" s="323">
        <v>0</v>
      </c>
      <c r="F35" s="332">
        <v>2841.67</v>
      </c>
      <c r="G35" s="332">
        <v>0</v>
      </c>
      <c r="H35" s="258"/>
    </row>
    <row r="36" spans="1:8" s="86" customFormat="1" ht="34.5" customHeight="1">
      <c r="A36" s="468"/>
      <c r="B36" s="468"/>
      <c r="C36" s="263">
        <v>2110</v>
      </c>
      <c r="D36" s="151" t="s">
        <v>71</v>
      </c>
      <c r="E36" s="323">
        <v>15000</v>
      </c>
      <c r="F36" s="332">
        <v>6664</v>
      </c>
      <c r="G36" s="332">
        <v>0</v>
      </c>
      <c r="H36" s="258">
        <f t="shared" si="0"/>
        <v>44.426666666666662</v>
      </c>
    </row>
    <row r="37" spans="1:8" s="86" customFormat="1" ht="33.75" customHeight="1">
      <c r="A37" s="468"/>
      <c r="B37" s="468"/>
      <c r="C37" s="263">
        <v>2360</v>
      </c>
      <c r="D37" s="151" t="s">
        <v>138</v>
      </c>
      <c r="E37" s="323">
        <v>70000</v>
      </c>
      <c r="F37" s="332">
        <v>77684.160000000003</v>
      </c>
      <c r="G37" s="332">
        <v>0</v>
      </c>
      <c r="H37" s="258">
        <f t="shared" si="0"/>
        <v>110.97737142857143</v>
      </c>
    </row>
    <row r="38" spans="1:8" s="86" customFormat="1" ht="12">
      <c r="A38" s="193">
        <v>710</v>
      </c>
      <c r="B38" s="198"/>
      <c r="C38" s="200"/>
      <c r="D38" s="201" t="s">
        <v>36</v>
      </c>
      <c r="E38" s="322">
        <f>E39+E41+E43</f>
        <v>365173</v>
      </c>
      <c r="F38" s="331">
        <f>F39+F41+F43</f>
        <v>152111.57</v>
      </c>
      <c r="G38" s="331">
        <v>0</v>
      </c>
      <c r="H38" s="259">
        <f t="shared" si="0"/>
        <v>41.654659572312305</v>
      </c>
    </row>
    <row r="39" spans="1:8" s="86" customFormat="1" ht="12">
      <c r="A39" s="469" t="s">
        <v>18</v>
      </c>
      <c r="B39" s="197">
        <v>71013</v>
      </c>
      <c r="C39" s="263"/>
      <c r="D39" s="151" t="s">
        <v>77</v>
      </c>
      <c r="E39" s="323">
        <f>E40</f>
        <v>67000</v>
      </c>
      <c r="F39" s="332">
        <f>F40</f>
        <v>0</v>
      </c>
      <c r="G39" s="332">
        <v>0</v>
      </c>
      <c r="H39" s="258">
        <f t="shared" si="0"/>
        <v>0</v>
      </c>
    </row>
    <row r="40" spans="1:8" s="86" customFormat="1" ht="33" customHeight="1">
      <c r="A40" s="470"/>
      <c r="B40" s="263"/>
      <c r="C40" s="263">
        <v>2110</v>
      </c>
      <c r="D40" s="151" t="s">
        <v>71</v>
      </c>
      <c r="E40" s="323">
        <v>67000</v>
      </c>
      <c r="F40" s="332">
        <v>0</v>
      </c>
      <c r="G40" s="332">
        <v>0</v>
      </c>
      <c r="H40" s="258">
        <f t="shared" si="0"/>
        <v>0</v>
      </c>
    </row>
    <row r="41" spans="1:8" s="86" customFormat="1" ht="12">
      <c r="A41" s="470"/>
      <c r="B41" s="263">
        <v>71014</v>
      </c>
      <c r="C41" s="263"/>
      <c r="D41" s="151" t="s">
        <v>78</v>
      </c>
      <c r="E41" s="323">
        <f>E42</f>
        <v>17000</v>
      </c>
      <c r="F41" s="332">
        <f>F42</f>
        <v>0</v>
      </c>
      <c r="G41" s="332">
        <v>0</v>
      </c>
      <c r="H41" s="258">
        <f t="shared" si="0"/>
        <v>0</v>
      </c>
    </row>
    <row r="42" spans="1:8" s="86" customFormat="1" ht="33" customHeight="1">
      <c r="A42" s="470"/>
      <c r="B42" s="263"/>
      <c r="C42" s="263">
        <v>2110</v>
      </c>
      <c r="D42" s="151" t="s">
        <v>71</v>
      </c>
      <c r="E42" s="323">
        <v>17000</v>
      </c>
      <c r="F42" s="332">
        <v>0</v>
      </c>
      <c r="G42" s="332">
        <v>0</v>
      </c>
      <c r="H42" s="258">
        <f t="shared" si="0"/>
        <v>0</v>
      </c>
    </row>
    <row r="43" spans="1:8" s="86" customFormat="1" ht="12">
      <c r="A43" s="470"/>
      <c r="B43" s="263">
        <v>71015</v>
      </c>
      <c r="C43" s="263"/>
      <c r="D43" s="151" t="s">
        <v>79</v>
      </c>
      <c r="E43" s="323">
        <f>SUM(E44:E45)</f>
        <v>281173</v>
      </c>
      <c r="F43" s="332">
        <f>SUM(F44:F45)</f>
        <v>152111.57</v>
      </c>
      <c r="G43" s="332">
        <v>0</v>
      </c>
      <c r="H43" s="258">
        <f t="shared" si="0"/>
        <v>54.098924861206442</v>
      </c>
    </row>
    <row r="44" spans="1:8" s="86" customFormat="1" ht="12">
      <c r="A44" s="470"/>
      <c r="B44" s="461"/>
      <c r="C44" s="197" t="s">
        <v>55</v>
      </c>
      <c r="D44" s="151" t="s">
        <v>65</v>
      </c>
      <c r="E44" s="323">
        <v>0</v>
      </c>
      <c r="F44" s="332">
        <v>140.57</v>
      </c>
      <c r="G44" s="332">
        <v>0</v>
      </c>
      <c r="H44" s="258"/>
    </row>
    <row r="45" spans="1:8" s="86" customFormat="1" ht="35.25" customHeight="1">
      <c r="A45" s="470"/>
      <c r="B45" s="461"/>
      <c r="C45" s="197">
        <v>2110</v>
      </c>
      <c r="D45" s="151" t="s">
        <v>71</v>
      </c>
      <c r="E45" s="323">
        <v>281173</v>
      </c>
      <c r="F45" s="332">
        <v>151971</v>
      </c>
      <c r="G45" s="332">
        <v>0</v>
      </c>
      <c r="H45" s="258">
        <f t="shared" si="0"/>
        <v>54.048930729479714</v>
      </c>
    </row>
    <row r="46" spans="1:8" s="86" customFormat="1" ht="12">
      <c r="A46" s="194">
        <v>750</v>
      </c>
      <c r="B46" s="200"/>
      <c r="C46" s="200"/>
      <c r="D46" s="201" t="s">
        <v>37</v>
      </c>
      <c r="E46" s="322">
        <f>E47+E49+E54+E57+E59</f>
        <v>2795530.82</v>
      </c>
      <c r="F46" s="331">
        <f>F47+F49+F54+F57+F59</f>
        <v>172245.85</v>
      </c>
      <c r="G46" s="331">
        <v>0</v>
      </c>
      <c r="H46" s="259">
        <f t="shared" si="0"/>
        <v>6.1614720455845307</v>
      </c>
    </row>
    <row r="47" spans="1:8" s="86" customFormat="1" ht="12">
      <c r="A47" s="469" t="s">
        <v>18</v>
      </c>
      <c r="B47" s="263">
        <v>75011</v>
      </c>
      <c r="C47" s="263"/>
      <c r="D47" s="151" t="s">
        <v>82</v>
      </c>
      <c r="E47" s="323">
        <f>E48</f>
        <v>114200</v>
      </c>
      <c r="F47" s="332">
        <f>F48</f>
        <v>59635</v>
      </c>
      <c r="G47" s="332">
        <v>0</v>
      </c>
      <c r="H47" s="258">
        <f t="shared" si="0"/>
        <v>52.219789842381779</v>
      </c>
    </row>
    <row r="48" spans="1:8" s="86" customFormat="1" ht="33" customHeight="1">
      <c r="A48" s="470"/>
      <c r="B48" s="263"/>
      <c r="C48" s="263">
        <v>2110</v>
      </c>
      <c r="D48" s="151" t="s">
        <v>71</v>
      </c>
      <c r="E48" s="323">
        <v>114200</v>
      </c>
      <c r="F48" s="332">
        <v>59635</v>
      </c>
      <c r="G48" s="332">
        <v>0</v>
      </c>
      <c r="H48" s="258">
        <f t="shared" si="0"/>
        <v>52.219789842381779</v>
      </c>
    </row>
    <row r="49" spans="1:8" s="86" customFormat="1" ht="12">
      <c r="A49" s="470"/>
      <c r="B49" s="263">
        <v>75020</v>
      </c>
      <c r="C49" s="263"/>
      <c r="D49" s="151" t="s">
        <v>83</v>
      </c>
      <c r="E49" s="323">
        <f>E50+E52+E53+E51</f>
        <v>187895</v>
      </c>
      <c r="F49" s="332">
        <f>F50+F52+F53+F51</f>
        <v>83615.12</v>
      </c>
      <c r="G49" s="332">
        <v>0</v>
      </c>
      <c r="H49" s="258">
        <f t="shared" si="0"/>
        <v>44.500981931397853</v>
      </c>
    </row>
    <row r="50" spans="1:8" s="86" customFormat="1" ht="12">
      <c r="A50" s="470"/>
      <c r="B50" s="460"/>
      <c r="C50" s="197" t="s">
        <v>43</v>
      </c>
      <c r="D50" s="154" t="s">
        <v>44</v>
      </c>
      <c r="E50" s="323">
        <v>0</v>
      </c>
      <c r="F50" s="332">
        <v>955.76</v>
      </c>
      <c r="G50" s="332">
        <v>0</v>
      </c>
      <c r="H50" s="258"/>
    </row>
    <row r="51" spans="1:8" s="86" customFormat="1" ht="45" customHeight="1">
      <c r="A51" s="470"/>
      <c r="B51" s="461"/>
      <c r="C51" s="197" t="s">
        <v>27</v>
      </c>
      <c r="D51" s="151" t="s">
        <v>185</v>
      </c>
      <c r="E51" s="323">
        <v>17895</v>
      </c>
      <c r="F51" s="332">
        <v>8947.3799999999992</v>
      </c>
      <c r="G51" s="332">
        <v>0</v>
      </c>
      <c r="H51" s="258">
        <f t="shared" si="0"/>
        <v>49.99932942162615</v>
      </c>
    </row>
    <row r="52" spans="1:8" s="86" customFormat="1" ht="12">
      <c r="A52" s="470"/>
      <c r="B52" s="461"/>
      <c r="C52" s="197" t="s">
        <v>62</v>
      </c>
      <c r="D52" s="151" t="s">
        <v>64</v>
      </c>
      <c r="E52" s="323">
        <v>0</v>
      </c>
      <c r="F52" s="332">
        <v>31211.98</v>
      </c>
      <c r="G52" s="332">
        <v>0</v>
      </c>
      <c r="H52" s="258"/>
    </row>
    <row r="53" spans="1:8" s="86" customFormat="1" ht="33.75">
      <c r="A53" s="470"/>
      <c r="B53" s="461"/>
      <c r="C53" s="263">
        <v>2440</v>
      </c>
      <c r="D53" s="203" t="s">
        <v>145</v>
      </c>
      <c r="E53" s="323">
        <v>170000</v>
      </c>
      <c r="F53" s="332">
        <v>42500</v>
      </c>
      <c r="G53" s="332">
        <v>0</v>
      </c>
      <c r="H53" s="258">
        <f t="shared" si="0"/>
        <v>25</v>
      </c>
    </row>
    <row r="54" spans="1:8" s="86" customFormat="1" ht="12">
      <c r="A54" s="470"/>
      <c r="B54" s="263">
        <v>75045</v>
      </c>
      <c r="C54" s="263"/>
      <c r="D54" s="151" t="s">
        <v>409</v>
      </c>
      <c r="E54" s="323">
        <f>E55+E56</f>
        <v>20000</v>
      </c>
      <c r="F54" s="332">
        <f>F55+F56</f>
        <v>18995.73</v>
      </c>
      <c r="G54" s="332">
        <v>0</v>
      </c>
      <c r="H54" s="258">
        <f t="shared" si="0"/>
        <v>94.978650000000002</v>
      </c>
    </row>
    <row r="55" spans="1:8" s="86" customFormat="1" ht="34.5" customHeight="1">
      <c r="A55" s="470"/>
      <c r="B55" s="468"/>
      <c r="C55" s="263">
        <v>2110</v>
      </c>
      <c r="D55" s="151" t="s">
        <v>71</v>
      </c>
      <c r="E55" s="323">
        <v>19000</v>
      </c>
      <c r="F55" s="332">
        <v>18995.73</v>
      </c>
      <c r="G55" s="332">
        <v>0</v>
      </c>
      <c r="H55" s="258">
        <f t="shared" si="0"/>
        <v>99.977526315789461</v>
      </c>
    </row>
    <row r="56" spans="1:8" s="86" customFormat="1" ht="36" customHeight="1">
      <c r="A56" s="470"/>
      <c r="B56" s="468"/>
      <c r="C56" s="263">
        <v>2120</v>
      </c>
      <c r="D56" s="151" t="s">
        <v>30</v>
      </c>
      <c r="E56" s="323">
        <v>1000</v>
      </c>
      <c r="F56" s="332">
        <v>0</v>
      </c>
      <c r="G56" s="332">
        <v>0</v>
      </c>
      <c r="H56" s="258">
        <f t="shared" si="0"/>
        <v>0</v>
      </c>
    </row>
    <row r="57" spans="1:8" s="86" customFormat="1" ht="11.25" customHeight="1">
      <c r="A57" s="470"/>
      <c r="B57" s="263">
        <v>75075</v>
      </c>
      <c r="C57" s="263"/>
      <c r="D57" s="151" t="s">
        <v>150</v>
      </c>
      <c r="E57" s="323">
        <f>E58</f>
        <v>10000</v>
      </c>
      <c r="F57" s="332">
        <f>F58</f>
        <v>10000</v>
      </c>
      <c r="G57" s="332">
        <v>0</v>
      </c>
      <c r="H57" s="258">
        <f t="shared" si="0"/>
        <v>100</v>
      </c>
    </row>
    <row r="58" spans="1:8" s="86" customFormat="1" ht="32.25" customHeight="1">
      <c r="A58" s="470"/>
      <c r="B58" s="263"/>
      <c r="C58" s="263">
        <v>2700</v>
      </c>
      <c r="D58" s="203" t="s">
        <v>203</v>
      </c>
      <c r="E58" s="323">
        <v>10000</v>
      </c>
      <c r="F58" s="332">
        <v>10000</v>
      </c>
      <c r="G58" s="332">
        <v>0</v>
      </c>
      <c r="H58" s="258">
        <f t="shared" si="0"/>
        <v>100</v>
      </c>
    </row>
    <row r="59" spans="1:8" s="86" customFormat="1" ht="12">
      <c r="A59" s="470"/>
      <c r="B59" s="308">
        <v>75095</v>
      </c>
      <c r="C59" s="308"/>
      <c r="D59" s="203" t="s">
        <v>80</v>
      </c>
      <c r="E59" s="323">
        <f>E60</f>
        <v>2463435.8199999998</v>
      </c>
      <c r="F59" s="332">
        <f>F60</f>
        <v>0</v>
      </c>
      <c r="G59" s="332">
        <v>0</v>
      </c>
      <c r="H59" s="258">
        <f t="shared" si="0"/>
        <v>0</v>
      </c>
    </row>
    <row r="60" spans="1:8" s="86" customFormat="1" ht="32.25" customHeight="1">
      <c r="A60" s="471"/>
      <c r="B60" s="308"/>
      <c r="C60" s="308">
        <v>6627</v>
      </c>
      <c r="D60" s="203" t="s">
        <v>299</v>
      </c>
      <c r="E60" s="323">
        <v>2463435.8199999998</v>
      </c>
      <c r="F60" s="332">
        <v>0</v>
      </c>
      <c r="G60" s="332">
        <v>0</v>
      </c>
      <c r="H60" s="258">
        <f t="shared" si="0"/>
        <v>0</v>
      </c>
    </row>
    <row r="61" spans="1:8" s="86" customFormat="1" ht="21">
      <c r="A61" s="200">
        <v>754</v>
      </c>
      <c r="B61" s="200"/>
      <c r="C61" s="200"/>
      <c r="D61" s="201" t="s">
        <v>38</v>
      </c>
      <c r="E61" s="322">
        <f>E62+E69</f>
        <v>3607275</v>
      </c>
      <c r="F61" s="331">
        <f>F62+F69</f>
        <v>1798770.89</v>
      </c>
      <c r="G61" s="331">
        <f>G62+G69</f>
        <v>50000</v>
      </c>
      <c r="H61" s="259">
        <f t="shared" si="0"/>
        <v>51.251176857877482</v>
      </c>
    </row>
    <row r="62" spans="1:8" s="86" customFormat="1" ht="11.25" customHeight="1">
      <c r="A62" s="461"/>
      <c r="B62" s="263">
        <v>75411</v>
      </c>
      <c r="C62" s="263"/>
      <c r="D62" s="151" t="s">
        <v>46</v>
      </c>
      <c r="E62" s="323">
        <f>SUM(E63:E68)</f>
        <v>3601112</v>
      </c>
      <c r="F62" s="332">
        <f>SUM(F63:F68)</f>
        <v>1792607.93</v>
      </c>
      <c r="G62" s="332">
        <f>SUM(G63:G68)</f>
        <v>50000</v>
      </c>
      <c r="H62" s="258">
        <f t="shared" si="0"/>
        <v>51.167748462141695</v>
      </c>
    </row>
    <row r="63" spans="1:8" s="86" customFormat="1" ht="12">
      <c r="A63" s="461"/>
      <c r="B63" s="460"/>
      <c r="C63" s="197" t="s">
        <v>55</v>
      </c>
      <c r="D63" s="151" t="s">
        <v>65</v>
      </c>
      <c r="E63" s="323">
        <v>0</v>
      </c>
      <c r="F63" s="332">
        <v>1986.74</v>
      </c>
      <c r="G63" s="332">
        <v>0</v>
      </c>
      <c r="H63" s="258"/>
    </row>
    <row r="64" spans="1:8" s="86" customFormat="1" ht="12">
      <c r="A64" s="461"/>
      <c r="B64" s="461"/>
      <c r="C64" s="197" t="s">
        <v>62</v>
      </c>
      <c r="D64" s="151" t="s">
        <v>64</v>
      </c>
      <c r="E64" s="323">
        <v>0</v>
      </c>
      <c r="F64" s="332">
        <v>374</v>
      </c>
      <c r="G64" s="332">
        <v>0</v>
      </c>
      <c r="H64" s="258"/>
    </row>
    <row r="65" spans="1:8" s="86" customFormat="1" ht="34.5" customHeight="1">
      <c r="A65" s="461"/>
      <c r="B65" s="461"/>
      <c r="C65" s="263">
        <v>2110</v>
      </c>
      <c r="D65" s="151" t="s">
        <v>71</v>
      </c>
      <c r="E65" s="323">
        <v>2901112</v>
      </c>
      <c r="F65" s="332">
        <v>1790236</v>
      </c>
      <c r="G65" s="332">
        <v>0</v>
      </c>
      <c r="H65" s="258">
        <f t="shared" si="0"/>
        <v>61.708613800501325</v>
      </c>
    </row>
    <row r="66" spans="1:8" s="86" customFormat="1" ht="35.25" customHeight="1">
      <c r="A66" s="461"/>
      <c r="B66" s="461"/>
      <c r="C66" s="263">
        <v>2360</v>
      </c>
      <c r="D66" s="151" t="s">
        <v>138</v>
      </c>
      <c r="E66" s="323">
        <v>0</v>
      </c>
      <c r="F66" s="332">
        <v>11.19</v>
      </c>
      <c r="G66" s="332">
        <v>0</v>
      </c>
      <c r="H66" s="258"/>
    </row>
    <row r="67" spans="1:8" s="86" customFormat="1" ht="47.25" customHeight="1">
      <c r="A67" s="461"/>
      <c r="B67" s="461"/>
      <c r="C67" s="308">
        <v>6300</v>
      </c>
      <c r="D67" s="151" t="s">
        <v>300</v>
      </c>
      <c r="E67" s="323">
        <v>50000</v>
      </c>
      <c r="F67" s="332">
        <v>0</v>
      </c>
      <c r="G67" s="332">
        <v>50000</v>
      </c>
      <c r="H67" s="258">
        <f t="shared" si="0"/>
        <v>100</v>
      </c>
    </row>
    <row r="68" spans="1:8" s="86" customFormat="1" ht="35.25" customHeight="1">
      <c r="A68" s="461"/>
      <c r="B68" s="462"/>
      <c r="C68" s="308">
        <v>6410</v>
      </c>
      <c r="D68" s="151" t="s">
        <v>301</v>
      </c>
      <c r="E68" s="323">
        <v>650000</v>
      </c>
      <c r="F68" s="332">
        <v>0</v>
      </c>
      <c r="G68" s="332">
        <v>0</v>
      </c>
      <c r="H68" s="258">
        <f t="shared" si="0"/>
        <v>0</v>
      </c>
    </row>
    <row r="69" spans="1:8" s="86" customFormat="1" ht="12">
      <c r="A69" s="461"/>
      <c r="B69" s="263">
        <v>75421</v>
      </c>
      <c r="C69" s="263"/>
      <c r="D69" s="151" t="s">
        <v>199</v>
      </c>
      <c r="E69" s="323">
        <f>E70</f>
        <v>6163</v>
      </c>
      <c r="F69" s="332">
        <f>F70</f>
        <v>6162.96</v>
      </c>
      <c r="G69" s="332">
        <v>0</v>
      </c>
      <c r="H69" s="258">
        <f t="shared" si="0"/>
        <v>99.999350965438921</v>
      </c>
    </row>
    <row r="70" spans="1:8" s="86" customFormat="1" ht="45">
      <c r="A70" s="462"/>
      <c r="B70" s="263"/>
      <c r="C70" s="263">
        <v>2310</v>
      </c>
      <c r="D70" s="261" t="s">
        <v>140</v>
      </c>
      <c r="E70" s="323">
        <v>6163</v>
      </c>
      <c r="F70" s="332">
        <v>6162.96</v>
      </c>
      <c r="G70" s="332">
        <v>0</v>
      </c>
      <c r="H70" s="258">
        <f t="shared" si="0"/>
        <v>99.999350965438921</v>
      </c>
    </row>
    <row r="71" spans="1:8" s="86" customFormat="1" ht="42">
      <c r="A71" s="204">
        <v>756</v>
      </c>
      <c r="B71" s="200"/>
      <c r="C71" s="200"/>
      <c r="D71" s="201" t="s">
        <v>67</v>
      </c>
      <c r="E71" s="322">
        <f>E72+E78</f>
        <v>5873797</v>
      </c>
      <c r="F71" s="331">
        <f>F72+F78</f>
        <v>2810073.06</v>
      </c>
      <c r="G71" s="331">
        <v>0</v>
      </c>
      <c r="H71" s="259">
        <f t="shared" si="0"/>
        <v>47.840826981252505</v>
      </c>
    </row>
    <row r="72" spans="1:8" s="86" customFormat="1" ht="31.5">
      <c r="A72" s="460" t="s">
        <v>18</v>
      </c>
      <c r="B72" s="205">
        <v>75618</v>
      </c>
      <c r="C72" s="205"/>
      <c r="D72" s="206" t="s">
        <v>200</v>
      </c>
      <c r="E72" s="324">
        <f>SUM(E73:E77)</f>
        <v>1335576</v>
      </c>
      <c r="F72" s="333">
        <f>SUM(F73:F77)</f>
        <v>978852.79</v>
      </c>
      <c r="G72" s="332">
        <v>0</v>
      </c>
      <c r="H72" s="258">
        <f t="shared" si="0"/>
        <v>73.29068431897548</v>
      </c>
    </row>
    <row r="73" spans="1:8" s="86" customFormat="1" ht="12">
      <c r="A73" s="461"/>
      <c r="B73" s="465"/>
      <c r="C73" s="207" t="s">
        <v>24</v>
      </c>
      <c r="D73" s="208" t="s">
        <v>25</v>
      </c>
      <c r="E73" s="325">
        <v>692576</v>
      </c>
      <c r="F73" s="334">
        <v>347859.75</v>
      </c>
      <c r="G73" s="332">
        <v>0</v>
      </c>
      <c r="H73" s="258">
        <f t="shared" si="0"/>
        <v>50.226942602689093</v>
      </c>
    </row>
    <row r="74" spans="1:8" s="86" customFormat="1" ht="35.25" customHeight="1">
      <c r="A74" s="461"/>
      <c r="B74" s="466"/>
      <c r="C74" s="207" t="s">
        <v>201</v>
      </c>
      <c r="D74" s="208" t="s">
        <v>296</v>
      </c>
      <c r="E74" s="325">
        <v>630000</v>
      </c>
      <c r="F74" s="334">
        <v>619214.16</v>
      </c>
      <c r="G74" s="332">
        <v>0</v>
      </c>
      <c r="H74" s="258">
        <f t="shared" si="0"/>
        <v>98.287961904761914</v>
      </c>
    </row>
    <row r="75" spans="1:8" s="86" customFormat="1" ht="12">
      <c r="A75" s="461"/>
      <c r="B75" s="466"/>
      <c r="C75" s="207" t="s">
        <v>43</v>
      </c>
      <c r="D75" s="154" t="s">
        <v>44</v>
      </c>
      <c r="E75" s="325">
        <v>10000</v>
      </c>
      <c r="F75" s="334">
        <v>8413.64</v>
      </c>
      <c r="G75" s="332">
        <v>0</v>
      </c>
      <c r="H75" s="258">
        <f t="shared" si="0"/>
        <v>84.136399999999995</v>
      </c>
    </row>
    <row r="76" spans="1:8" s="86" customFormat="1" ht="35.25" customHeight="1">
      <c r="A76" s="461"/>
      <c r="B76" s="466"/>
      <c r="C76" s="210" t="s">
        <v>27</v>
      </c>
      <c r="D76" s="151" t="s">
        <v>185</v>
      </c>
      <c r="E76" s="325">
        <v>3000</v>
      </c>
      <c r="F76" s="334">
        <v>1950</v>
      </c>
      <c r="G76" s="332">
        <v>0</v>
      </c>
      <c r="H76" s="258">
        <f t="shared" ref="H76:H138" si="1">(F76+G76)/E76*100</f>
        <v>65</v>
      </c>
    </row>
    <row r="77" spans="1:8" s="86" customFormat="1" ht="22.5" customHeight="1">
      <c r="A77" s="461"/>
      <c r="B77" s="467"/>
      <c r="C77" s="211" t="s">
        <v>250</v>
      </c>
      <c r="D77" s="151" t="s">
        <v>255</v>
      </c>
      <c r="E77" s="325">
        <v>0</v>
      </c>
      <c r="F77" s="334">
        <v>1415.24</v>
      </c>
      <c r="G77" s="332">
        <v>0</v>
      </c>
      <c r="H77" s="258"/>
    </row>
    <row r="78" spans="1:8" s="86" customFormat="1" ht="22.5">
      <c r="A78" s="461"/>
      <c r="B78" s="308">
        <v>75622</v>
      </c>
      <c r="C78" s="262"/>
      <c r="D78" s="212" t="s">
        <v>86</v>
      </c>
      <c r="E78" s="326">
        <f>E79+E80</f>
        <v>4538221</v>
      </c>
      <c r="F78" s="335">
        <f>F79+F80</f>
        <v>1831220.27</v>
      </c>
      <c r="G78" s="332">
        <v>0</v>
      </c>
      <c r="H78" s="258">
        <f t="shared" si="1"/>
        <v>40.351059809559736</v>
      </c>
    </row>
    <row r="79" spans="1:8" s="86" customFormat="1" ht="12">
      <c r="A79" s="461"/>
      <c r="B79" s="472"/>
      <c r="C79" s="197" t="s">
        <v>22</v>
      </c>
      <c r="D79" s="154" t="s">
        <v>21</v>
      </c>
      <c r="E79" s="323">
        <v>4388221</v>
      </c>
      <c r="F79" s="332">
        <v>1771360</v>
      </c>
      <c r="G79" s="332">
        <v>0</v>
      </c>
      <c r="H79" s="258">
        <f t="shared" si="1"/>
        <v>40.366244088435835</v>
      </c>
    </row>
    <row r="80" spans="1:8" s="86" customFormat="1" ht="12">
      <c r="A80" s="461"/>
      <c r="B80" s="473"/>
      <c r="C80" s="197" t="s">
        <v>58</v>
      </c>
      <c r="D80" s="154" t="s">
        <v>59</v>
      </c>
      <c r="E80" s="323">
        <v>150000</v>
      </c>
      <c r="F80" s="332">
        <v>59860.27</v>
      </c>
      <c r="G80" s="332">
        <v>0</v>
      </c>
      <c r="H80" s="258">
        <f t="shared" si="1"/>
        <v>39.906846666666659</v>
      </c>
    </row>
    <row r="81" spans="1:8" s="86" customFormat="1" ht="12">
      <c r="A81" s="214">
        <v>758</v>
      </c>
      <c r="B81" s="200"/>
      <c r="C81" s="198"/>
      <c r="D81" s="199" t="s">
        <v>39</v>
      </c>
      <c r="E81" s="322">
        <f>E82+E84+E86+E88</f>
        <v>28171325</v>
      </c>
      <c r="F81" s="331">
        <f>F82+F84+F86+F88</f>
        <v>16128876.43</v>
      </c>
      <c r="G81" s="331">
        <v>0</v>
      </c>
      <c r="H81" s="259">
        <f t="shared" si="1"/>
        <v>57.252814448734654</v>
      </c>
    </row>
    <row r="82" spans="1:8" s="86" customFormat="1" ht="12">
      <c r="A82" s="468"/>
      <c r="B82" s="263">
        <v>75801</v>
      </c>
      <c r="C82" s="197"/>
      <c r="D82" s="154" t="s">
        <v>87</v>
      </c>
      <c r="E82" s="323">
        <f>E83</f>
        <v>17731844</v>
      </c>
      <c r="F82" s="332">
        <f>F83</f>
        <v>10911904</v>
      </c>
      <c r="G82" s="332">
        <v>0</v>
      </c>
      <c r="H82" s="258">
        <f t="shared" si="1"/>
        <v>61.53846153846154</v>
      </c>
    </row>
    <row r="83" spans="1:8" s="86" customFormat="1" ht="12">
      <c r="A83" s="468"/>
      <c r="B83" s="263"/>
      <c r="C83" s="263">
        <v>2920</v>
      </c>
      <c r="D83" s="154" t="s">
        <v>23</v>
      </c>
      <c r="E83" s="323">
        <v>17731844</v>
      </c>
      <c r="F83" s="332">
        <v>10911904</v>
      </c>
      <c r="G83" s="332">
        <v>0</v>
      </c>
      <c r="H83" s="258">
        <f t="shared" si="1"/>
        <v>61.53846153846154</v>
      </c>
    </row>
    <row r="84" spans="1:8" s="86" customFormat="1" ht="12">
      <c r="A84" s="468"/>
      <c r="B84" s="263">
        <v>75803</v>
      </c>
      <c r="C84" s="197"/>
      <c r="D84" s="154" t="s">
        <v>88</v>
      </c>
      <c r="E84" s="323">
        <f>E85</f>
        <v>8837957</v>
      </c>
      <c r="F84" s="332">
        <f>F85</f>
        <v>4418976</v>
      </c>
      <c r="G84" s="332">
        <v>0</v>
      </c>
      <c r="H84" s="258">
        <f t="shared" si="1"/>
        <v>49.999971712919624</v>
      </c>
    </row>
    <row r="85" spans="1:8" s="86" customFormat="1" ht="12">
      <c r="A85" s="468"/>
      <c r="B85" s="263"/>
      <c r="C85" s="263">
        <v>2920</v>
      </c>
      <c r="D85" s="154" t="s">
        <v>23</v>
      </c>
      <c r="E85" s="323">
        <v>8837957</v>
      </c>
      <c r="F85" s="332">
        <v>4418976</v>
      </c>
      <c r="G85" s="332">
        <v>0</v>
      </c>
      <c r="H85" s="258">
        <f t="shared" si="1"/>
        <v>49.999971712919624</v>
      </c>
    </row>
    <row r="86" spans="1:8" s="86" customFormat="1" ht="12">
      <c r="A86" s="468"/>
      <c r="B86" s="263">
        <v>75814</v>
      </c>
      <c r="C86" s="263"/>
      <c r="D86" s="154" t="s">
        <v>89</v>
      </c>
      <c r="E86" s="323">
        <f>E87</f>
        <v>60000</v>
      </c>
      <c r="F86" s="332">
        <f>F87</f>
        <v>27236.43</v>
      </c>
      <c r="G86" s="332">
        <v>0</v>
      </c>
      <c r="H86" s="258">
        <f t="shared" si="1"/>
        <v>45.39405</v>
      </c>
    </row>
    <row r="87" spans="1:8" s="86" customFormat="1" ht="12">
      <c r="A87" s="468"/>
      <c r="B87" s="263"/>
      <c r="C87" s="197" t="s">
        <v>55</v>
      </c>
      <c r="D87" s="154" t="s">
        <v>65</v>
      </c>
      <c r="E87" s="323">
        <v>60000</v>
      </c>
      <c r="F87" s="332">
        <v>27236.43</v>
      </c>
      <c r="G87" s="332">
        <v>0</v>
      </c>
      <c r="H87" s="258">
        <f t="shared" si="1"/>
        <v>45.39405</v>
      </c>
    </row>
    <row r="88" spans="1:8" s="86" customFormat="1" ht="12">
      <c r="A88" s="468"/>
      <c r="B88" s="263">
        <v>75832</v>
      </c>
      <c r="C88" s="197"/>
      <c r="D88" s="154" t="s">
        <v>90</v>
      </c>
      <c r="E88" s="323">
        <f>E89</f>
        <v>1541524</v>
      </c>
      <c r="F88" s="332">
        <f>F89</f>
        <v>770760</v>
      </c>
      <c r="G88" s="332">
        <v>0</v>
      </c>
      <c r="H88" s="258">
        <f t="shared" si="1"/>
        <v>49.999870258263904</v>
      </c>
    </row>
    <row r="89" spans="1:8" s="86" customFormat="1" ht="12">
      <c r="A89" s="468"/>
      <c r="B89" s="263"/>
      <c r="C89" s="263">
        <v>2920</v>
      </c>
      <c r="D89" s="154" t="s">
        <v>23</v>
      </c>
      <c r="E89" s="323">
        <v>1541524</v>
      </c>
      <c r="F89" s="332">
        <v>770760</v>
      </c>
      <c r="G89" s="332">
        <v>0</v>
      </c>
      <c r="H89" s="258">
        <f t="shared" si="1"/>
        <v>49.999870258263904</v>
      </c>
    </row>
    <row r="90" spans="1:8" s="86" customFormat="1" ht="12">
      <c r="A90" s="204">
        <v>801</v>
      </c>
      <c r="B90" s="200"/>
      <c r="C90" s="200"/>
      <c r="D90" s="199" t="s">
        <v>60</v>
      </c>
      <c r="E90" s="322">
        <f>E91+E97+E103+E109+E113+E95</f>
        <v>711182.39</v>
      </c>
      <c r="F90" s="331">
        <f>F91+F97+F103+F109+F113</f>
        <v>262342.88</v>
      </c>
      <c r="G90" s="331">
        <f>G91+G97+G103+G109+G113</f>
        <v>0</v>
      </c>
      <c r="H90" s="259">
        <f t="shared" si="1"/>
        <v>36.888269969676834</v>
      </c>
    </row>
    <row r="91" spans="1:8" s="86" customFormat="1" ht="12">
      <c r="A91" s="460"/>
      <c r="B91" s="264">
        <v>80102</v>
      </c>
      <c r="C91" s="263"/>
      <c r="D91" s="154" t="s">
        <v>47</v>
      </c>
      <c r="E91" s="323">
        <f>SUM(E92:E94)</f>
        <v>12250</v>
      </c>
      <c r="F91" s="332">
        <f>SUM(F92:F94)</f>
        <v>10897.33</v>
      </c>
      <c r="G91" s="332">
        <v>0</v>
      </c>
      <c r="H91" s="258">
        <f t="shared" si="1"/>
        <v>88.957795918367339</v>
      </c>
    </row>
    <row r="92" spans="1:8" s="86" customFormat="1" ht="56.25">
      <c r="A92" s="461"/>
      <c r="B92" s="474"/>
      <c r="C92" s="197" t="s">
        <v>27</v>
      </c>
      <c r="D92" s="151" t="s">
        <v>185</v>
      </c>
      <c r="E92" s="323">
        <v>5800</v>
      </c>
      <c r="F92" s="332">
        <v>4720</v>
      </c>
      <c r="G92" s="332">
        <v>0</v>
      </c>
      <c r="H92" s="258">
        <f t="shared" si="1"/>
        <v>81.379310344827587</v>
      </c>
    </row>
    <row r="93" spans="1:8" s="86" customFormat="1" ht="12">
      <c r="A93" s="461"/>
      <c r="B93" s="475"/>
      <c r="C93" s="197" t="s">
        <v>55</v>
      </c>
      <c r="D93" s="151" t="s">
        <v>65</v>
      </c>
      <c r="E93" s="323">
        <v>450</v>
      </c>
      <c r="F93" s="332">
        <v>177.33</v>
      </c>
      <c r="G93" s="332">
        <v>0</v>
      </c>
      <c r="H93" s="258">
        <f t="shared" si="1"/>
        <v>39.406666666666666</v>
      </c>
    </row>
    <row r="94" spans="1:8" s="86" customFormat="1" ht="33.75">
      <c r="A94" s="461"/>
      <c r="B94" s="476"/>
      <c r="C94" s="197">
        <v>2130</v>
      </c>
      <c r="D94" s="151" t="s">
        <v>31</v>
      </c>
      <c r="E94" s="323">
        <v>6000</v>
      </c>
      <c r="F94" s="332">
        <v>6000</v>
      </c>
      <c r="G94" s="332">
        <v>0</v>
      </c>
      <c r="H94" s="258">
        <f t="shared" si="1"/>
        <v>100</v>
      </c>
    </row>
    <row r="95" spans="1:8" s="86" customFormat="1" ht="12">
      <c r="A95" s="461"/>
      <c r="B95" s="310">
        <v>80111</v>
      </c>
      <c r="C95" s="197"/>
      <c r="D95" s="151" t="s">
        <v>118</v>
      </c>
      <c r="E95" s="323">
        <f>E96</f>
        <v>400000</v>
      </c>
      <c r="F95" s="332">
        <v>0</v>
      </c>
      <c r="G95" s="332">
        <v>0</v>
      </c>
      <c r="H95" s="258">
        <f t="shared" si="1"/>
        <v>0</v>
      </c>
    </row>
    <row r="96" spans="1:8" s="86" customFormat="1" ht="56.25">
      <c r="A96" s="461"/>
      <c r="B96" s="310"/>
      <c r="C96" s="197">
        <v>6260</v>
      </c>
      <c r="D96" s="151" t="s">
        <v>302</v>
      </c>
      <c r="E96" s="323">
        <v>400000</v>
      </c>
      <c r="F96" s="332">
        <v>0</v>
      </c>
      <c r="G96" s="332">
        <v>0</v>
      </c>
      <c r="H96" s="258">
        <f t="shared" si="1"/>
        <v>0</v>
      </c>
    </row>
    <row r="97" spans="1:8" s="86" customFormat="1" ht="12">
      <c r="A97" s="461"/>
      <c r="B97" s="264">
        <v>80120</v>
      </c>
      <c r="C97" s="263"/>
      <c r="D97" s="154" t="s">
        <v>53</v>
      </c>
      <c r="E97" s="327">
        <f>SUM(E98:E102)</f>
        <v>42595.39</v>
      </c>
      <c r="F97" s="336">
        <f>SUM(F98:F102)</f>
        <v>31608.560000000005</v>
      </c>
      <c r="G97" s="336">
        <f>SUM(G98:G102)</f>
        <v>0</v>
      </c>
      <c r="H97" s="258">
        <f t="shared" si="1"/>
        <v>74.206527983427321</v>
      </c>
    </row>
    <row r="98" spans="1:8" s="86" customFormat="1" ht="12">
      <c r="A98" s="461"/>
      <c r="B98" s="461"/>
      <c r="C98" s="197" t="s">
        <v>43</v>
      </c>
      <c r="D98" s="154" t="s">
        <v>44</v>
      </c>
      <c r="E98" s="323">
        <f>500+86</f>
        <v>586</v>
      </c>
      <c r="F98" s="332">
        <v>205.27</v>
      </c>
      <c r="G98" s="332">
        <v>0</v>
      </c>
      <c r="H98" s="258">
        <f t="shared" si="1"/>
        <v>35.029010238907851</v>
      </c>
    </row>
    <row r="99" spans="1:8" s="86" customFormat="1" ht="56.25">
      <c r="A99" s="461"/>
      <c r="B99" s="461"/>
      <c r="C99" s="197" t="s">
        <v>27</v>
      </c>
      <c r="D99" s="151" t="s">
        <v>185</v>
      </c>
      <c r="E99" s="323">
        <f>38000+614</f>
        <v>38614</v>
      </c>
      <c r="F99" s="332">
        <v>26825.4</v>
      </c>
      <c r="G99" s="332">
        <v>0</v>
      </c>
      <c r="H99" s="258">
        <f t="shared" si="1"/>
        <v>69.470658310457353</v>
      </c>
    </row>
    <row r="100" spans="1:8" s="86" customFormat="1" ht="12">
      <c r="A100" s="461"/>
      <c r="B100" s="461"/>
      <c r="C100" s="197" t="s">
        <v>61</v>
      </c>
      <c r="D100" s="151" t="s">
        <v>63</v>
      </c>
      <c r="E100" s="323">
        <v>600</v>
      </c>
      <c r="F100" s="332">
        <v>407.7</v>
      </c>
      <c r="G100" s="332">
        <v>0</v>
      </c>
      <c r="H100" s="258">
        <f t="shared" si="1"/>
        <v>67.95</v>
      </c>
    </row>
    <row r="101" spans="1:8" s="86" customFormat="1" ht="12">
      <c r="A101" s="461"/>
      <c r="B101" s="461"/>
      <c r="C101" s="197" t="s">
        <v>55</v>
      </c>
      <c r="D101" s="151" t="s">
        <v>65</v>
      </c>
      <c r="E101" s="323">
        <f>300+114</f>
        <v>414</v>
      </c>
      <c r="F101" s="332">
        <v>574.95000000000005</v>
      </c>
      <c r="G101" s="332">
        <v>0</v>
      </c>
      <c r="H101" s="258">
        <f t="shared" si="1"/>
        <v>138.87681159420291</v>
      </c>
    </row>
    <row r="102" spans="1:8" s="86" customFormat="1" ht="12">
      <c r="A102" s="461"/>
      <c r="B102" s="461"/>
      <c r="C102" s="197" t="s">
        <v>62</v>
      </c>
      <c r="D102" s="151" t="s">
        <v>64</v>
      </c>
      <c r="E102" s="323">
        <f>2295.39+86</f>
        <v>2381.39</v>
      </c>
      <c r="F102" s="332">
        <v>3595.24</v>
      </c>
      <c r="G102" s="332">
        <v>0</v>
      </c>
      <c r="H102" s="258">
        <f t="shared" si="1"/>
        <v>150.97233128550974</v>
      </c>
    </row>
    <row r="103" spans="1:8" s="86" customFormat="1" ht="12">
      <c r="A103" s="461"/>
      <c r="B103" s="313">
        <v>80130</v>
      </c>
      <c r="C103" s="263"/>
      <c r="D103" s="154" t="s">
        <v>49</v>
      </c>
      <c r="E103" s="327">
        <f>SUM(E104:E108)</f>
        <v>59504</v>
      </c>
      <c r="F103" s="336">
        <f>SUM(F104:F108)</f>
        <v>50867.05000000001</v>
      </c>
      <c r="G103" s="332">
        <v>0</v>
      </c>
      <c r="H103" s="258">
        <f t="shared" si="1"/>
        <v>85.485093439096545</v>
      </c>
    </row>
    <row r="104" spans="1:8" s="86" customFormat="1" ht="12">
      <c r="A104" s="461"/>
      <c r="B104" s="461"/>
      <c r="C104" s="210" t="s">
        <v>43</v>
      </c>
      <c r="D104" s="154" t="s">
        <v>44</v>
      </c>
      <c r="E104" s="323">
        <f>464+1081</f>
        <v>1545</v>
      </c>
      <c r="F104" s="332">
        <v>984.01</v>
      </c>
      <c r="G104" s="332">
        <v>0</v>
      </c>
      <c r="H104" s="258">
        <f t="shared" si="1"/>
        <v>63.689967637540455</v>
      </c>
    </row>
    <row r="105" spans="1:8" s="86" customFormat="1" ht="56.25">
      <c r="A105" s="461"/>
      <c r="B105" s="461"/>
      <c r="C105" s="210" t="s">
        <v>27</v>
      </c>
      <c r="D105" s="151" t="s">
        <v>185</v>
      </c>
      <c r="E105" s="323">
        <f>461+36454</f>
        <v>36915</v>
      </c>
      <c r="F105" s="332">
        <v>33279.120000000003</v>
      </c>
      <c r="G105" s="332">
        <v>0</v>
      </c>
      <c r="H105" s="258">
        <f t="shared" si="1"/>
        <v>90.150670459162953</v>
      </c>
    </row>
    <row r="106" spans="1:8" s="86" customFormat="1" ht="12">
      <c r="A106" s="461"/>
      <c r="B106" s="461"/>
      <c r="C106" s="210" t="s">
        <v>61</v>
      </c>
      <c r="D106" s="151" t="s">
        <v>63</v>
      </c>
      <c r="E106" s="323">
        <v>10779</v>
      </c>
      <c r="F106" s="332">
        <v>9178.82</v>
      </c>
      <c r="G106" s="332">
        <v>0</v>
      </c>
      <c r="H106" s="258">
        <f t="shared" si="1"/>
        <v>85.154652565173024</v>
      </c>
    </row>
    <row r="107" spans="1:8" s="86" customFormat="1" ht="12">
      <c r="A107" s="461"/>
      <c r="B107" s="461"/>
      <c r="C107" s="210" t="s">
        <v>55</v>
      </c>
      <c r="D107" s="151" t="s">
        <v>65</v>
      </c>
      <c r="E107" s="323">
        <f>886+1588</f>
        <v>2474</v>
      </c>
      <c r="F107" s="332">
        <v>1008.55</v>
      </c>
      <c r="G107" s="332">
        <v>0</v>
      </c>
      <c r="H107" s="258">
        <f t="shared" si="1"/>
        <v>40.765966046887634</v>
      </c>
    </row>
    <row r="108" spans="1:8" s="86" customFormat="1" ht="12">
      <c r="A108" s="461"/>
      <c r="B108" s="461"/>
      <c r="C108" s="210" t="s">
        <v>62</v>
      </c>
      <c r="D108" s="151" t="s">
        <v>64</v>
      </c>
      <c r="E108" s="323">
        <f>1548+64+6179</f>
        <v>7791</v>
      </c>
      <c r="F108" s="332">
        <v>6416.55</v>
      </c>
      <c r="G108" s="332">
        <v>0</v>
      </c>
      <c r="H108" s="258">
        <f t="shared" si="1"/>
        <v>82.35849056603773</v>
      </c>
    </row>
    <row r="109" spans="1:8" s="86" customFormat="1" ht="22.5" customHeight="1">
      <c r="A109" s="461"/>
      <c r="B109" s="263">
        <v>80140</v>
      </c>
      <c r="C109" s="210"/>
      <c r="D109" s="151" t="s">
        <v>204</v>
      </c>
      <c r="E109" s="323">
        <f>E110+E111+E112</f>
        <v>81833</v>
      </c>
      <c r="F109" s="332">
        <f>SUM(F110:F112)</f>
        <v>74687.839999999997</v>
      </c>
      <c r="G109" s="332">
        <v>0</v>
      </c>
      <c r="H109" s="258">
        <f t="shared" si="1"/>
        <v>91.268608018769925</v>
      </c>
    </row>
    <row r="110" spans="1:8" s="86" customFormat="1" ht="23.25" customHeight="1">
      <c r="A110" s="461"/>
      <c r="B110" s="460"/>
      <c r="C110" s="210" t="s">
        <v>27</v>
      </c>
      <c r="D110" s="151" t="s">
        <v>185</v>
      </c>
      <c r="E110" s="323">
        <v>51307</v>
      </c>
      <c r="F110" s="332">
        <v>44085.85</v>
      </c>
      <c r="G110" s="332">
        <v>0</v>
      </c>
      <c r="H110" s="258">
        <f t="shared" si="1"/>
        <v>85.9256046933167</v>
      </c>
    </row>
    <row r="111" spans="1:8" s="86" customFormat="1" ht="12">
      <c r="A111" s="461"/>
      <c r="B111" s="461"/>
      <c r="C111" s="210" t="s">
        <v>61</v>
      </c>
      <c r="D111" s="151" t="s">
        <v>63</v>
      </c>
      <c r="E111" s="323">
        <v>29073</v>
      </c>
      <c r="F111" s="332">
        <v>29148.27</v>
      </c>
      <c r="G111" s="332">
        <v>0</v>
      </c>
      <c r="H111" s="258">
        <f t="shared" si="1"/>
        <v>100.25890001031885</v>
      </c>
    </row>
    <row r="112" spans="1:8" s="86" customFormat="1" ht="12">
      <c r="A112" s="461"/>
      <c r="B112" s="461"/>
      <c r="C112" s="210" t="s">
        <v>55</v>
      </c>
      <c r="D112" s="151" t="s">
        <v>65</v>
      </c>
      <c r="E112" s="323">
        <v>1453</v>
      </c>
      <c r="F112" s="332">
        <v>1453.72</v>
      </c>
      <c r="G112" s="332">
        <v>0</v>
      </c>
      <c r="H112" s="258">
        <f t="shared" si="1"/>
        <v>100.04955264969028</v>
      </c>
    </row>
    <row r="113" spans="1:8" s="86" customFormat="1" ht="12">
      <c r="A113" s="461"/>
      <c r="B113" s="308">
        <v>80148</v>
      </c>
      <c r="C113" s="210"/>
      <c r="D113" s="151" t="s">
        <v>209</v>
      </c>
      <c r="E113" s="323">
        <f>E114</f>
        <v>115000</v>
      </c>
      <c r="F113" s="332">
        <f>F114</f>
        <v>94282.1</v>
      </c>
      <c r="G113" s="332">
        <v>0</v>
      </c>
      <c r="H113" s="258">
        <f t="shared" si="1"/>
        <v>81.984434782608702</v>
      </c>
    </row>
    <row r="114" spans="1:8" s="86" customFormat="1" ht="12">
      <c r="A114" s="462"/>
      <c r="B114" s="262"/>
      <c r="C114" s="210" t="s">
        <v>61</v>
      </c>
      <c r="D114" s="151" t="s">
        <v>63</v>
      </c>
      <c r="E114" s="323">
        <v>115000</v>
      </c>
      <c r="F114" s="332">
        <v>94282.1</v>
      </c>
      <c r="G114" s="332">
        <v>0</v>
      </c>
      <c r="H114" s="258">
        <f t="shared" si="1"/>
        <v>81.984434782608702</v>
      </c>
    </row>
    <row r="115" spans="1:8" s="86" customFormat="1" ht="12">
      <c r="A115" s="200">
        <v>851</v>
      </c>
      <c r="B115" s="200"/>
      <c r="C115" s="200"/>
      <c r="D115" s="199" t="s">
        <v>40</v>
      </c>
      <c r="E115" s="322">
        <f>E118+E116</f>
        <v>3649610.69</v>
      </c>
      <c r="F115" s="331">
        <f>F118+F116</f>
        <v>1153000</v>
      </c>
      <c r="G115" s="331">
        <v>0</v>
      </c>
      <c r="H115" s="259">
        <f t="shared" si="1"/>
        <v>31.592410751076578</v>
      </c>
    </row>
    <row r="116" spans="1:8" s="86" customFormat="1" ht="12">
      <c r="A116" s="465"/>
      <c r="B116" s="269">
        <v>85111</v>
      </c>
      <c r="C116" s="269"/>
      <c r="D116" s="320" t="s">
        <v>92</v>
      </c>
      <c r="E116" s="328">
        <f>E117</f>
        <v>839610.69</v>
      </c>
      <c r="F116" s="337">
        <f>F117</f>
        <v>0</v>
      </c>
      <c r="G116" s="337">
        <v>0</v>
      </c>
      <c r="H116" s="258">
        <f t="shared" si="1"/>
        <v>0</v>
      </c>
    </row>
    <row r="117" spans="1:8" s="86" customFormat="1" ht="56.25">
      <c r="A117" s="466"/>
      <c r="B117" s="269"/>
      <c r="C117" s="269">
        <v>6260</v>
      </c>
      <c r="D117" s="151" t="s">
        <v>302</v>
      </c>
      <c r="E117" s="328">
        <v>839610.69</v>
      </c>
      <c r="F117" s="337">
        <v>0</v>
      </c>
      <c r="G117" s="337">
        <v>0</v>
      </c>
      <c r="H117" s="258">
        <f t="shared" si="1"/>
        <v>0</v>
      </c>
    </row>
    <row r="118" spans="1:8" s="86" customFormat="1" ht="12">
      <c r="A118" s="466"/>
      <c r="B118" s="263">
        <v>85156</v>
      </c>
      <c r="C118" s="263"/>
      <c r="D118" s="155" t="s">
        <v>94</v>
      </c>
      <c r="E118" s="323">
        <f>E119</f>
        <v>2810000</v>
      </c>
      <c r="F118" s="332">
        <f>F119</f>
        <v>1153000</v>
      </c>
      <c r="G118" s="332">
        <v>0</v>
      </c>
      <c r="H118" s="258">
        <f t="shared" si="1"/>
        <v>41.032028469750891</v>
      </c>
    </row>
    <row r="119" spans="1:8" s="86" customFormat="1" ht="33.75" customHeight="1">
      <c r="A119" s="467"/>
      <c r="B119" s="263"/>
      <c r="C119" s="263">
        <v>2110</v>
      </c>
      <c r="D119" s="151" t="s">
        <v>71</v>
      </c>
      <c r="E119" s="323">
        <v>2810000</v>
      </c>
      <c r="F119" s="332">
        <v>1153000</v>
      </c>
      <c r="G119" s="332">
        <v>0</v>
      </c>
      <c r="H119" s="258">
        <f t="shared" si="1"/>
        <v>41.032028469750891</v>
      </c>
    </row>
    <row r="120" spans="1:8" s="86" customFormat="1" ht="12">
      <c r="A120" s="200">
        <v>852</v>
      </c>
      <c r="B120" s="200"/>
      <c r="C120" s="200"/>
      <c r="D120" s="201" t="s">
        <v>41</v>
      </c>
      <c r="E120" s="322">
        <f>E121+E131+E133+E138+E145+E150+E143</f>
        <v>4445286.76</v>
      </c>
      <c r="F120" s="331">
        <f>F121+F131+F133+F138+F145+F150+F143</f>
        <v>2205247.54</v>
      </c>
      <c r="G120" s="331">
        <v>0</v>
      </c>
      <c r="H120" s="259">
        <f t="shared" si="1"/>
        <v>49.608667765676387</v>
      </c>
    </row>
    <row r="121" spans="1:8" s="86" customFormat="1" ht="12">
      <c r="A121" s="460" t="s">
        <v>18</v>
      </c>
      <c r="B121" s="263">
        <v>85201</v>
      </c>
      <c r="C121" s="263"/>
      <c r="D121" s="151" t="s">
        <v>95</v>
      </c>
      <c r="E121" s="328">
        <f>SUM(E122:E130)</f>
        <v>1860196.91</v>
      </c>
      <c r="F121" s="337">
        <f>SUM(F122:F130)</f>
        <v>876033.42</v>
      </c>
      <c r="G121" s="332">
        <v>0</v>
      </c>
      <c r="H121" s="258">
        <f t="shared" si="1"/>
        <v>47.093585377474909</v>
      </c>
    </row>
    <row r="122" spans="1:8" s="86" customFormat="1" ht="22.5">
      <c r="A122" s="461"/>
      <c r="B122" s="460"/>
      <c r="C122" s="197" t="s">
        <v>136</v>
      </c>
      <c r="D122" s="156" t="s">
        <v>178</v>
      </c>
      <c r="E122" s="323">
        <v>2000</v>
      </c>
      <c r="F122" s="332">
        <v>200</v>
      </c>
      <c r="G122" s="332">
        <v>0</v>
      </c>
      <c r="H122" s="258">
        <f t="shared" si="1"/>
        <v>10</v>
      </c>
    </row>
    <row r="123" spans="1:8" s="86" customFormat="1" ht="33.75">
      <c r="A123" s="461"/>
      <c r="B123" s="461"/>
      <c r="C123" s="197" t="s">
        <v>160</v>
      </c>
      <c r="D123" s="151" t="s">
        <v>174</v>
      </c>
      <c r="E123" s="323">
        <v>1382</v>
      </c>
      <c r="F123" s="332">
        <v>2826.94</v>
      </c>
      <c r="G123" s="332">
        <v>0</v>
      </c>
      <c r="H123" s="258">
        <f t="shared" si="1"/>
        <v>204.55426917510854</v>
      </c>
    </row>
    <row r="124" spans="1:8" s="86" customFormat="1" ht="12">
      <c r="A124" s="461"/>
      <c r="B124" s="461"/>
      <c r="C124" s="197" t="s">
        <v>43</v>
      </c>
      <c r="D124" s="154" t="s">
        <v>44</v>
      </c>
      <c r="E124" s="323">
        <v>0</v>
      </c>
      <c r="F124" s="332">
        <v>8.8000000000000007</v>
      </c>
      <c r="G124" s="332">
        <v>0</v>
      </c>
      <c r="H124" s="258"/>
    </row>
    <row r="125" spans="1:8" s="86" customFormat="1" ht="12">
      <c r="A125" s="461"/>
      <c r="B125" s="461"/>
      <c r="C125" s="197" t="s">
        <v>55</v>
      </c>
      <c r="D125" s="151" t="s">
        <v>65</v>
      </c>
      <c r="E125" s="323">
        <v>600</v>
      </c>
      <c r="F125" s="332">
        <v>1146.6300000000001</v>
      </c>
      <c r="G125" s="332">
        <v>0</v>
      </c>
      <c r="H125" s="258">
        <f t="shared" si="1"/>
        <v>191.10500000000002</v>
      </c>
    </row>
    <row r="126" spans="1:8" s="86" customFormat="1" ht="22.5">
      <c r="A126" s="461"/>
      <c r="B126" s="461"/>
      <c r="C126" s="197" t="s">
        <v>107</v>
      </c>
      <c r="D126" s="151" t="s">
        <v>173</v>
      </c>
      <c r="E126" s="323">
        <v>0</v>
      </c>
      <c r="F126" s="332">
        <v>1816.88</v>
      </c>
      <c r="G126" s="332">
        <v>0</v>
      </c>
      <c r="H126" s="258"/>
    </row>
    <row r="127" spans="1:8" s="86" customFormat="1" ht="12">
      <c r="A127" s="461"/>
      <c r="B127" s="461"/>
      <c r="C127" s="197" t="s">
        <v>62</v>
      </c>
      <c r="D127" s="151" t="s">
        <v>64</v>
      </c>
      <c r="E127" s="323">
        <v>0</v>
      </c>
      <c r="F127" s="332">
        <v>701.3</v>
      </c>
      <c r="G127" s="332">
        <v>0</v>
      </c>
      <c r="H127" s="258"/>
    </row>
    <row r="128" spans="1:8" s="86" customFormat="1" ht="33.75">
      <c r="A128" s="461"/>
      <c r="B128" s="461"/>
      <c r="C128" s="263">
        <v>2130</v>
      </c>
      <c r="D128" s="151" t="s">
        <v>172</v>
      </c>
      <c r="E128" s="323">
        <v>1500</v>
      </c>
      <c r="F128" s="332">
        <v>1500</v>
      </c>
      <c r="G128" s="332">
        <v>0</v>
      </c>
      <c r="H128" s="258">
        <f t="shared" si="1"/>
        <v>100</v>
      </c>
    </row>
    <row r="129" spans="1:8" s="86" customFormat="1" ht="21.75" customHeight="1">
      <c r="A129" s="461"/>
      <c r="B129" s="461"/>
      <c r="C129" s="263">
        <v>2320</v>
      </c>
      <c r="D129" s="151" t="s">
        <v>142</v>
      </c>
      <c r="E129" s="323">
        <v>1734714.91</v>
      </c>
      <c r="F129" s="332">
        <v>867832.87</v>
      </c>
      <c r="G129" s="332">
        <v>0</v>
      </c>
      <c r="H129" s="258">
        <f t="shared" si="1"/>
        <v>50.0274059441848</v>
      </c>
    </row>
    <row r="130" spans="1:8" s="86" customFormat="1" ht="48" customHeight="1">
      <c r="A130" s="461"/>
      <c r="B130" s="462"/>
      <c r="C130" s="308">
        <v>2710</v>
      </c>
      <c r="D130" s="151" t="s">
        <v>205</v>
      </c>
      <c r="E130" s="323">
        <v>120000</v>
      </c>
      <c r="F130" s="332">
        <v>0</v>
      </c>
      <c r="G130" s="332">
        <v>0</v>
      </c>
      <c r="H130" s="258">
        <f t="shared" si="1"/>
        <v>0</v>
      </c>
    </row>
    <row r="131" spans="1:8" s="86" customFormat="1" ht="12">
      <c r="A131" s="461"/>
      <c r="B131" s="263">
        <v>85202</v>
      </c>
      <c r="C131" s="263"/>
      <c r="D131" s="151" t="s">
        <v>96</v>
      </c>
      <c r="E131" s="323">
        <f>E132</f>
        <v>1770000</v>
      </c>
      <c r="F131" s="332">
        <f>F132</f>
        <v>863722</v>
      </c>
      <c r="G131" s="332">
        <v>0</v>
      </c>
      <c r="H131" s="258">
        <f t="shared" si="1"/>
        <v>48.797853107344636</v>
      </c>
    </row>
    <row r="132" spans="1:8" s="86" customFormat="1" ht="33.75" customHeight="1">
      <c r="A132" s="461"/>
      <c r="B132" s="313"/>
      <c r="C132" s="263">
        <v>2130</v>
      </c>
      <c r="D132" s="151" t="s">
        <v>31</v>
      </c>
      <c r="E132" s="323">
        <v>1770000</v>
      </c>
      <c r="F132" s="332">
        <v>863722</v>
      </c>
      <c r="G132" s="332">
        <v>0</v>
      </c>
      <c r="H132" s="258">
        <f t="shared" si="1"/>
        <v>48.797853107344636</v>
      </c>
    </row>
    <row r="133" spans="1:8" s="86" customFormat="1" ht="12">
      <c r="A133" s="461"/>
      <c r="B133" s="263">
        <v>85203</v>
      </c>
      <c r="C133" s="263"/>
      <c r="D133" s="151" t="s">
        <v>97</v>
      </c>
      <c r="E133" s="323">
        <f>E134+E135+E136</f>
        <v>371500</v>
      </c>
      <c r="F133" s="332">
        <f>SUM(F134:F137)</f>
        <v>216603.05000000002</v>
      </c>
      <c r="G133" s="332">
        <v>0</v>
      </c>
      <c r="H133" s="258">
        <f t="shared" si="1"/>
        <v>58.304993270524911</v>
      </c>
    </row>
    <row r="134" spans="1:8" s="86" customFormat="1" ht="56.25">
      <c r="A134" s="461"/>
      <c r="B134" s="460"/>
      <c r="C134" s="197" t="s">
        <v>27</v>
      </c>
      <c r="D134" s="151" t="s">
        <v>185</v>
      </c>
      <c r="E134" s="323">
        <v>0</v>
      </c>
      <c r="F134" s="332">
        <v>10600</v>
      </c>
      <c r="G134" s="332">
        <v>0</v>
      </c>
      <c r="H134" s="258"/>
    </row>
    <row r="135" spans="1:8" s="86" customFormat="1" ht="12">
      <c r="A135" s="461"/>
      <c r="B135" s="461"/>
      <c r="C135" s="197" t="s">
        <v>55</v>
      </c>
      <c r="D135" s="151" t="s">
        <v>65</v>
      </c>
      <c r="E135" s="323">
        <v>0</v>
      </c>
      <c r="F135" s="332">
        <v>275.64</v>
      </c>
      <c r="G135" s="332">
        <v>0</v>
      </c>
      <c r="H135" s="258"/>
    </row>
    <row r="136" spans="1:8" s="86" customFormat="1" ht="45">
      <c r="A136" s="461"/>
      <c r="B136" s="461"/>
      <c r="C136" s="263">
        <v>2110</v>
      </c>
      <c r="D136" s="151" t="s">
        <v>71</v>
      </c>
      <c r="E136" s="323">
        <v>371500</v>
      </c>
      <c r="F136" s="332">
        <v>205573</v>
      </c>
      <c r="G136" s="332">
        <v>0</v>
      </c>
      <c r="H136" s="258">
        <f t="shared" si="1"/>
        <v>55.335935397039023</v>
      </c>
    </row>
    <row r="137" spans="1:8" s="86" customFormat="1" ht="33" customHeight="1">
      <c r="A137" s="461"/>
      <c r="B137" s="462"/>
      <c r="C137" s="263">
        <v>2360</v>
      </c>
      <c r="D137" s="151" t="s">
        <v>138</v>
      </c>
      <c r="E137" s="323">
        <v>0</v>
      </c>
      <c r="F137" s="332">
        <v>154.41</v>
      </c>
      <c r="G137" s="332">
        <v>0</v>
      </c>
      <c r="H137" s="258"/>
    </row>
    <row r="138" spans="1:8" s="86" customFormat="1" ht="12">
      <c r="A138" s="461"/>
      <c r="B138" s="263">
        <v>85204</v>
      </c>
      <c r="C138" s="263"/>
      <c r="D138" s="151" t="s">
        <v>120</v>
      </c>
      <c r="E138" s="323">
        <f>SUM(E139:E142)</f>
        <v>86419.85</v>
      </c>
      <c r="F138" s="332">
        <f>SUM(F139:F142)</f>
        <v>46741.609999999993</v>
      </c>
      <c r="G138" s="332">
        <v>0</v>
      </c>
      <c r="H138" s="258">
        <f t="shared" si="1"/>
        <v>54.086659488531851</v>
      </c>
    </row>
    <row r="139" spans="1:8" s="86" customFormat="1" ht="12">
      <c r="A139" s="461"/>
      <c r="B139" s="460"/>
      <c r="C139" s="197" t="s">
        <v>55</v>
      </c>
      <c r="D139" s="151" t="s">
        <v>65</v>
      </c>
      <c r="E139" s="323">
        <v>0</v>
      </c>
      <c r="F139" s="332">
        <v>25.2</v>
      </c>
      <c r="G139" s="332"/>
      <c r="H139" s="258"/>
    </row>
    <row r="140" spans="1:8" s="86" customFormat="1" ht="12">
      <c r="A140" s="461"/>
      <c r="B140" s="461"/>
      <c r="C140" s="197" t="s">
        <v>62</v>
      </c>
      <c r="D140" s="151" t="s">
        <v>64</v>
      </c>
      <c r="E140" s="323">
        <v>0</v>
      </c>
      <c r="F140" s="332">
        <v>400</v>
      </c>
      <c r="G140" s="332">
        <v>0</v>
      </c>
      <c r="H140" s="258"/>
    </row>
    <row r="141" spans="1:8" s="86" customFormat="1" ht="33.75" customHeight="1">
      <c r="A141" s="461"/>
      <c r="B141" s="461"/>
      <c r="C141" s="197">
        <v>2320</v>
      </c>
      <c r="D141" s="151" t="s">
        <v>142</v>
      </c>
      <c r="E141" s="323">
        <v>86419.85</v>
      </c>
      <c r="F141" s="332">
        <v>45587.21</v>
      </c>
      <c r="G141" s="332">
        <v>0</v>
      </c>
      <c r="H141" s="258">
        <f t="shared" ref="H141:H196" si="2">(F141+G141)/E141*100</f>
        <v>52.750855272255158</v>
      </c>
    </row>
    <row r="142" spans="1:8" s="86" customFormat="1" ht="67.5">
      <c r="A142" s="461"/>
      <c r="B142" s="462"/>
      <c r="C142" s="197">
        <v>2910</v>
      </c>
      <c r="D142" s="151" t="s">
        <v>298</v>
      </c>
      <c r="E142" s="323">
        <v>0</v>
      </c>
      <c r="F142" s="332">
        <v>729.2</v>
      </c>
      <c r="G142" s="332">
        <v>0</v>
      </c>
      <c r="H142" s="258"/>
    </row>
    <row r="143" spans="1:8" s="86" customFormat="1" ht="22.5">
      <c r="A143" s="461"/>
      <c r="B143" s="309">
        <v>85205</v>
      </c>
      <c r="C143" s="197"/>
      <c r="D143" s="151" t="s">
        <v>305</v>
      </c>
      <c r="E143" s="323">
        <f>E144</f>
        <v>320500</v>
      </c>
      <c r="F143" s="332">
        <f>F144</f>
        <v>170500</v>
      </c>
      <c r="G143" s="332">
        <v>0</v>
      </c>
      <c r="H143" s="258">
        <f t="shared" si="2"/>
        <v>53.198127925116999</v>
      </c>
    </row>
    <row r="144" spans="1:8" s="86" customFormat="1" ht="33" customHeight="1">
      <c r="A144" s="461"/>
      <c r="B144" s="309"/>
      <c r="C144" s="197">
        <v>2110</v>
      </c>
      <c r="D144" s="151" t="s">
        <v>71</v>
      </c>
      <c r="E144" s="323">
        <v>320500</v>
      </c>
      <c r="F144" s="332">
        <v>170500</v>
      </c>
      <c r="G144" s="332">
        <v>0</v>
      </c>
      <c r="H144" s="258">
        <f t="shared" si="2"/>
        <v>53.198127925116999</v>
      </c>
    </row>
    <row r="145" spans="1:8" s="86" customFormat="1" ht="12">
      <c r="A145" s="461"/>
      <c r="B145" s="263">
        <v>85218</v>
      </c>
      <c r="C145" s="263"/>
      <c r="D145" s="151" t="s">
        <v>99</v>
      </c>
      <c r="E145" s="323">
        <f>SUM(E146:E149)</f>
        <v>33015</v>
      </c>
      <c r="F145" s="332">
        <f>SUM(F146:F149)</f>
        <v>27392.92</v>
      </c>
      <c r="G145" s="332">
        <v>0</v>
      </c>
      <c r="H145" s="258">
        <f t="shared" si="2"/>
        <v>82.971134332878989</v>
      </c>
    </row>
    <row r="146" spans="1:8" s="86" customFormat="1" ht="56.25">
      <c r="A146" s="461"/>
      <c r="B146" s="460"/>
      <c r="C146" s="197" t="s">
        <v>27</v>
      </c>
      <c r="D146" s="151" t="s">
        <v>139</v>
      </c>
      <c r="E146" s="323">
        <v>23965</v>
      </c>
      <c r="F146" s="332">
        <v>18178.46</v>
      </c>
      <c r="G146" s="332">
        <v>0</v>
      </c>
      <c r="H146" s="258">
        <f t="shared" si="2"/>
        <v>75.854204047569368</v>
      </c>
    </row>
    <row r="147" spans="1:8" s="86" customFormat="1" ht="12">
      <c r="A147" s="461"/>
      <c r="B147" s="461"/>
      <c r="C147" s="197" t="s">
        <v>61</v>
      </c>
      <c r="D147" s="151" t="s">
        <v>63</v>
      </c>
      <c r="E147" s="323">
        <v>5000</v>
      </c>
      <c r="F147" s="332">
        <v>4840.8500000000004</v>
      </c>
      <c r="G147" s="332">
        <v>0</v>
      </c>
      <c r="H147" s="258">
        <f t="shared" si="2"/>
        <v>96.817000000000007</v>
      </c>
    </row>
    <row r="148" spans="1:8" s="86" customFormat="1" ht="12">
      <c r="A148" s="461"/>
      <c r="B148" s="461"/>
      <c r="C148" s="197" t="s">
        <v>55</v>
      </c>
      <c r="D148" s="151" t="s">
        <v>65</v>
      </c>
      <c r="E148" s="323">
        <v>300</v>
      </c>
      <c r="F148" s="332">
        <v>623.61</v>
      </c>
      <c r="G148" s="332">
        <v>0</v>
      </c>
      <c r="H148" s="258">
        <f t="shared" si="2"/>
        <v>207.87</v>
      </c>
    </row>
    <row r="149" spans="1:8" s="86" customFormat="1" ht="33.75">
      <c r="A149" s="461"/>
      <c r="B149" s="462"/>
      <c r="C149" s="263">
        <v>2130</v>
      </c>
      <c r="D149" s="151" t="s">
        <v>31</v>
      </c>
      <c r="E149" s="323">
        <v>3750</v>
      </c>
      <c r="F149" s="332">
        <v>3750</v>
      </c>
      <c r="G149" s="332">
        <v>0</v>
      </c>
      <c r="H149" s="258">
        <f t="shared" si="2"/>
        <v>100</v>
      </c>
    </row>
    <row r="150" spans="1:8" s="86" customFormat="1" ht="12">
      <c r="A150" s="461"/>
      <c r="B150" s="262">
        <v>85226</v>
      </c>
      <c r="C150" s="263"/>
      <c r="D150" s="151" t="s">
        <v>267</v>
      </c>
      <c r="E150" s="323">
        <f>E152+E151</f>
        <v>3655</v>
      </c>
      <c r="F150" s="332">
        <f>F152+F151</f>
        <v>4254.54</v>
      </c>
      <c r="G150" s="332">
        <v>0</v>
      </c>
      <c r="H150" s="258">
        <f t="shared" si="2"/>
        <v>116.40328317373461</v>
      </c>
    </row>
    <row r="151" spans="1:8" s="86" customFormat="1" ht="12">
      <c r="A151" s="461"/>
      <c r="B151" s="460"/>
      <c r="C151" s="197" t="s">
        <v>61</v>
      </c>
      <c r="D151" s="151" t="s">
        <v>63</v>
      </c>
      <c r="E151" s="323"/>
      <c r="F151" s="332">
        <v>600</v>
      </c>
      <c r="G151" s="332">
        <v>0</v>
      </c>
      <c r="H151" s="258"/>
    </row>
    <row r="152" spans="1:8" s="86" customFormat="1" ht="34.5" customHeight="1">
      <c r="A152" s="462"/>
      <c r="B152" s="462"/>
      <c r="C152" s="197">
        <v>2320</v>
      </c>
      <c r="D152" s="151" t="s">
        <v>142</v>
      </c>
      <c r="E152" s="323">
        <v>3655</v>
      </c>
      <c r="F152" s="332">
        <v>3654.54</v>
      </c>
      <c r="G152" s="332">
        <v>0</v>
      </c>
      <c r="H152" s="258">
        <f t="shared" si="2"/>
        <v>99.987414500683997</v>
      </c>
    </row>
    <row r="153" spans="1:8" s="86" customFormat="1" ht="24" customHeight="1">
      <c r="A153" s="200">
        <v>853</v>
      </c>
      <c r="B153" s="200"/>
      <c r="C153" s="198"/>
      <c r="D153" s="201" t="s">
        <v>42</v>
      </c>
      <c r="E153" s="322">
        <f>E154+E156+E161+E163</f>
        <v>2257748.13</v>
      </c>
      <c r="F153" s="331">
        <f>F154+F156+F161+F163</f>
        <v>1755870.5000000002</v>
      </c>
      <c r="G153" s="331">
        <f>G154+G156+G161+G163</f>
        <v>0</v>
      </c>
      <c r="H153" s="259">
        <f t="shared" si="2"/>
        <v>77.770876063132889</v>
      </c>
    </row>
    <row r="154" spans="1:8" s="86" customFormat="1" ht="12">
      <c r="A154" s="460"/>
      <c r="B154" s="263">
        <v>85321</v>
      </c>
      <c r="C154" s="263"/>
      <c r="D154" s="151" t="s">
        <v>100</v>
      </c>
      <c r="E154" s="323">
        <f>E155</f>
        <v>78000</v>
      </c>
      <c r="F154" s="332">
        <f>F155</f>
        <v>39000</v>
      </c>
      <c r="G154" s="332">
        <v>0</v>
      </c>
      <c r="H154" s="258">
        <f t="shared" si="2"/>
        <v>50</v>
      </c>
    </row>
    <row r="155" spans="1:8" s="86" customFormat="1" ht="32.25" customHeight="1">
      <c r="A155" s="461"/>
      <c r="B155" s="263"/>
      <c r="C155" s="263">
        <v>2110</v>
      </c>
      <c r="D155" s="151" t="s">
        <v>71</v>
      </c>
      <c r="E155" s="323">
        <v>78000</v>
      </c>
      <c r="F155" s="332">
        <v>39000</v>
      </c>
      <c r="G155" s="332">
        <v>0</v>
      </c>
      <c r="H155" s="258">
        <f t="shared" si="2"/>
        <v>50</v>
      </c>
    </row>
    <row r="156" spans="1:8" s="86" customFormat="1" ht="12">
      <c r="A156" s="461"/>
      <c r="B156" s="263">
        <v>85333</v>
      </c>
      <c r="C156" s="263"/>
      <c r="D156" s="151" t="s">
        <v>101</v>
      </c>
      <c r="E156" s="323">
        <f>SUM(E157:E160)</f>
        <v>879800</v>
      </c>
      <c r="F156" s="332">
        <f>SUM(F157:F160)</f>
        <v>449923.08</v>
      </c>
      <c r="G156" s="332">
        <f>SUM(G157:G160)</f>
        <v>0</v>
      </c>
      <c r="H156" s="258">
        <f t="shared" si="2"/>
        <v>51.139245283018873</v>
      </c>
    </row>
    <row r="157" spans="1:8" s="86" customFormat="1" ht="56.25">
      <c r="A157" s="461"/>
      <c r="B157" s="460"/>
      <c r="C157" s="197" t="s">
        <v>27</v>
      </c>
      <c r="D157" s="151" t="s">
        <v>185</v>
      </c>
      <c r="E157" s="323">
        <v>0</v>
      </c>
      <c r="F157" s="332">
        <v>7500</v>
      </c>
      <c r="G157" s="332">
        <v>0</v>
      </c>
      <c r="H157" s="258"/>
    </row>
    <row r="158" spans="1:8" s="86" customFormat="1" ht="12">
      <c r="A158" s="461"/>
      <c r="B158" s="461"/>
      <c r="C158" s="197" t="s">
        <v>55</v>
      </c>
      <c r="D158" s="151" t="s">
        <v>65</v>
      </c>
      <c r="E158" s="323">
        <v>1000</v>
      </c>
      <c r="F158" s="332">
        <v>1094.82</v>
      </c>
      <c r="G158" s="332">
        <v>0</v>
      </c>
      <c r="H158" s="258">
        <f t="shared" si="2"/>
        <v>109.48199999999999</v>
      </c>
    </row>
    <row r="159" spans="1:8" s="86" customFormat="1" ht="12">
      <c r="A159" s="461"/>
      <c r="B159" s="461"/>
      <c r="C159" s="197" t="s">
        <v>62</v>
      </c>
      <c r="D159" s="151" t="s">
        <v>64</v>
      </c>
      <c r="E159" s="323">
        <v>100</v>
      </c>
      <c r="F159" s="332">
        <v>328.26</v>
      </c>
      <c r="G159" s="332">
        <v>0</v>
      </c>
      <c r="H159" s="258">
        <f t="shared" si="2"/>
        <v>328.26</v>
      </c>
    </row>
    <row r="160" spans="1:8" s="86" customFormat="1" ht="33.75">
      <c r="A160" s="461"/>
      <c r="B160" s="462"/>
      <c r="C160" s="263">
        <v>2440</v>
      </c>
      <c r="D160" s="203" t="s">
        <v>145</v>
      </c>
      <c r="E160" s="323">
        <v>878700</v>
      </c>
      <c r="F160" s="332">
        <v>441000</v>
      </c>
      <c r="G160" s="332">
        <v>0</v>
      </c>
      <c r="H160" s="258">
        <f t="shared" si="2"/>
        <v>50.187777398429503</v>
      </c>
    </row>
    <row r="161" spans="1:8" s="86" customFormat="1" ht="12">
      <c r="A161" s="461"/>
      <c r="B161" s="263">
        <v>85334</v>
      </c>
      <c r="C161" s="197"/>
      <c r="D161" s="151" t="s">
        <v>132</v>
      </c>
      <c r="E161" s="323">
        <f>E162</f>
        <v>41643</v>
      </c>
      <c r="F161" s="332">
        <f>F162</f>
        <v>41643</v>
      </c>
      <c r="G161" s="332">
        <v>0</v>
      </c>
      <c r="H161" s="258">
        <f t="shared" si="2"/>
        <v>100</v>
      </c>
    </row>
    <row r="162" spans="1:8" s="86" customFormat="1" ht="33" customHeight="1">
      <c r="A162" s="461"/>
      <c r="B162" s="263"/>
      <c r="C162" s="263">
        <v>2110</v>
      </c>
      <c r="D162" s="151" t="s">
        <v>71</v>
      </c>
      <c r="E162" s="323">
        <v>41643</v>
      </c>
      <c r="F162" s="332">
        <v>41643</v>
      </c>
      <c r="G162" s="332">
        <v>0</v>
      </c>
      <c r="H162" s="258">
        <f t="shared" si="2"/>
        <v>100</v>
      </c>
    </row>
    <row r="163" spans="1:8" s="86" customFormat="1" ht="12">
      <c r="A163" s="461"/>
      <c r="B163" s="263">
        <v>85395</v>
      </c>
      <c r="C163" s="263"/>
      <c r="D163" s="151" t="s">
        <v>80</v>
      </c>
      <c r="E163" s="260">
        <f>SUM(E164:E168)</f>
        <v>1258305.1299999999</v>
      </c>
      <c r="F163" s="332">
        <f>SUM(F164:F168)</f>
        <v>1225304.4200000002</v>
      </c>
      <c r="G163" s="332">
        <v>0</v>
      </c>
      <c r="H163" s="258">
        <f t="shared" si="2"/>
        <v>97.377368238179258</v>
      </c>
    </row>
    <row r="164" spans="1:8" s="86" customFormat="1" ht="12">
      <c r="A164" s="461"/>
      <c r="B164" s="460"/>
      <c r="C164" s="197" t="s">
        <v>55</v>
      </c>
      <c r="D164" s="151" t="s">
        <v>65</v>
      </c>
      <c r="E164" s="323">
        <v>0</v>
      </c>
      <c r="F164" s="332">
        <v>113.34</v>
      </c>
      <c r="G164" s="332">
        <v>0</v>
      </c>
      <c r="H164" s="258"/>
    </row>
    <row r="165" spans="1:8" s="86" customFormat="1" ht="12">
      <c r="A165" s="461"/>
      <c r="B165" s="461"/>
      <c r="C165" s="197" t="s">
        <v>62</v>
      </c>
      <c r="D165" s="151" t="s">
        <v>64</v>
      </c>
      <c r="E165" s="323">
        <v>0</v>
      </c>
      <c r="F165" s="332">
        <v>50</v>
      </c>
      <c r="G165" s="332">
        <v>0</v>
      </c>
      <c r="H165" s="258"/>
    </row>
    <row r="166" spans="1:8" s="86" customFormat="1" ht="30.75" customHeight="1">
      <c r="A166" s="461"/>
      <c r="B166" s="461"/>
      <c r="C166" s="197">
        <v>2007</v>
      </c>
      <c r="D166" s="463" t="s">
        <v>297</v>
      </c>
      <c r="E166" s="323">
        <v>1193168.72</v>
      </c>
      <c r="F166" s="332">
        <v>1159799.46</v>
      </c>
      <c r="G166" s="332">
        <v>0</v>
      </c>
      <c r="H166" s="258">
        <f t="shared" si="2"/>
        <v>97.203307508765405</v>
      </c>
    </row>
    <row r="167" spans="1:8" s="86" customFormat="1" ht="36.75" customHeight="1">
      <c r="A167" s="461"/>
      <c r="B167" s="461"/>
      <c r="C167" s="197">
        <v>2009</v>
      </c>
      <c r="D167" s="464"/>
      <c r="E167" s="323">
        <v>65136.41</v>
      </c>
      <c r="F167" s="332">
        <v>65084.35</v>
      </c>
      <c r="G167" s="332">
        <v>0</v>
      </c>
      <c r="H167" s="258">
        <f t="shared" si="2"/>
        <v>99.920075423254048</v>
      </c>
    </row>
    <row r="168" spans="1:8" s="86" customFormat="1" ht="33.75">
      <c r="A168" s="461"/>
      <c r="B168" s="461"/>
      <c r="C168" s="263">
        <v>2440</v>
      </c>
      <c r="D168" s="203" t="s">
        <v>145</v>
      </c>
      <c r="E168" s="323">
        <v>0</v>
      </c>
      <c r="F168" s="332">
        <v>257.27</v>
      </c>
      <c r="G168" s="332">
        <v>0</v>
      </c>
      <c r="H168" s="258"/>
    </row>
    <row r="169" spans="1:8" s="86" customFormat="1" ht="12">
      <c r="A169" s="200">
        <v>854</v>
      </c>
      <c r="B169" s="200"/>
      <c r="C169" s="200"/>
      <c r="D169" s="201" t="s">
        <v>102</v>
      </c>
      <c r="E169" s="322">
        <f>E170+E174+E179+E183</f>
        <v>476454.48</v>
      </c>
      <c r="F169" s="331">
        <f>F170+F174+F179+F183</f>
        <v>64188.130000000005</v>
      </c>
      <c r="G169" s="331">
        <v>0</v>
      </c>
      <c r="H169" s="259">
        <f t="shared" si="2"/>
        <v>13.472038294193394</v>
      </c>
    </row>
    <row r="170" spans="1:8" s="86" customFormat="1" ht="22.5">
      <c r="A170" s="460"/>
      <c r="B170" s="263">
        <v>85406</v>
      </c>
      <c r="C170" s="263"/>
      <c r="D170" s="151" t="s">
        <v>103</v>
      </c>
      <c r="E170" s="257">
        <f>SUM(E171:E173)</f>
        <v>18620</v>
      </c>
      <c r="F170" s="332">
        <f>SUM(F171:F173)</f>
        <v>16677.11</v>
      </c>
      <c r="G170" s="332">
        <v>0</v>
      </c>
      <c r="H170" s="258">
        <f t="shared" si="2"/>
        <v>89.565574650913007</v>
      </c>
    </row>
    <row r="171" spans="1:8" s="86" customFormat="1" ht="56.25">
      <c r="A171" s="461"/>
      <c r="B171" s="461"/>
      <c r="C171" s="197" t="s">
        <v>27</v>
      </c>
      <c r="D171" s="151" t="s">
        <v>185</v>
      </c>
      <c r="E171" s="323">
        <v>18000</v>
      </c>
      <c r="F171" s="332">
        <v>15282.38</v>
      </c>
      <c r="G171" s="332">
        <v>0</v>
      </c>
      <c r="H171" s="258">
        <f t="shared" si="2"/>
        <v>84.902111111111111</v>
      </c>
    </row>
    <row r="172" spans="1:8" s="86" customFormat="1" ht="12">
      <c r="A172" s="461"/>
      <c r="B172" s="461"/>
      <c r="C172" s="197" t="s">
        <v>55</v>
      </c>
      <c r="D172" s="151" t="s">
        <v>65</v>
      </c>
      <c r="E172" s="323">
        <v>400</v>
      </c>
      <c r="F172" s="332">
        <v>150.32</v>
      </c>
      <c r="G172" s="332">
        <v>0</v>
      </c>
      <c r="H172" s="258">
        <f t="shared" si="2"/>
        <v>37.58</v>
      </c>
    </row>
    <row r="173" spans="1:8" s="86" customFormat="1" ht="12">
      <c r="A173" s="461"/>
      <c r="B173" s="462"/>
      <c r="C173" s="197" t="s">
        <v>62</v>
      </c>
      <c r="D173" s="151" t="s">
        <v>64</v>
      </c>
      <c r="E173" s="323">
        <v>220</v>
      </c>
      <c r="F173" s="332">
        <v>1244.4100000000001</v>
      </c>
      <c r="G173" s="332">
        <v>0</v>
      </c>
      <c r="H173" s="258">
        <f t="shared" si="2"/>
        <v>565.64090909090908</v>
      </c>
    </row>
    <row r="174" spans="1:8" s="86" customFormat="1" ht="12">
      <c r="A174" s="461"/>
      <c r="B174" s="263">
        <v>85407</v>
      </c>
      <c r="C174" s="263"/>
      <c r="D174" s="151" t="s">
        <v>51</v>
      </c>
      <c r="E174" s="323">
        <f>SUM(E175:E178)</f>
        <v>5920</v>
      </c>
      <c r="F174" s="332">
        <f>SUM(F175:F178)</f>
        <v>8393.94</v>
      </c>
      <c r="G174" s="332">
        <v>0</v>
      </c>
      <c r="H174" s="258">
        <f t="shared" si="2"/>
        <v>141.78952702702702</v>
      </c>
    </row>
    <row r="175" spans="1:8" s="86" customFormat="1" ht="56.25">
      <c r="A175" s="461"/>
      <c r="B175" s="468"/>
      <c r="C175" s="197" t="s">
        <v>27</v>
      </c>
      <c r="D175" s="151" t="s">
        <v>185</v>
      </c>
      <c r="E175" s="323">
        <v>4200</v>
      </c>
      <c r="F175" s="332">
        <v>6400</v>
      </c>
      <c r="G175" s="332">
        <v>0</v>
      </c>
      <c r="H175" s="258">
        <f t="shared" si="2"/>
        <v>152.38095238095238</v>
      </c>
    </row>
    <row r="176" spans="1:8" s="86" customFormat="1" ht="12">
      <c r="A176" s="461"/>
      <c r="B176" s="468"/>
      <c r="C176" s="197" t="s">
        <v>61</v>
      </c>
      <c r="D176" s="151" t="s">
        <v>63</v>
      </c>
      <c r="E176" s="323">
        <v>1400</v>
      </c>
      <c r="F176" s="332">
        <v>1860</v>
      </c>
      <c r="G176" s="332">
        <v>0</v>
      </c>
      <c r="H176" s="258">
        <f t="shared" si="2"/>
        <v>132.85714285714286</v>
      </c>
    </row>
    <row r="177" spans="1:8" s="86" customFormat="1" ht="12">
      <c r="A177" s="461"/>
      <c r="B177" s="468"/>
      <c r="C177" s="197" t="s">
        <v>55</v>
      </c>
      <c r="D177" s="151" t="s">
        <v>65</v>
      </c>
      <c r="E177" s="323">
        <v>250</v>
      </c>
      <c r="F177" s="332">
        <v>101.94</v>
      </c>
      <c r="G177" s="332">
        <v>0</v>
      </c>
      <c r="H177" s="258">
        <f t="shared" si="2"/>
        <v>40.776000000000003</v>
      </c>
    </row>
    <row r="178" spans="1:8" s="86" customFormat="1" ht="12">
      <c r="A178" s="461"/>
      <c r="B178" s="468"/>
      <c r="C178" s="197" t="s">
        <v>62</v>
      </c>
      <c r="D178" s="151" t="s">
        <v>64</v>
      </c>
      <c r="E178" s="323">
        <v>70</v>
      </c>
      <c r="F178" s="332">
        <v>32</v>
      </c>
      <c r="G178" s="332">
        <v>0</v>
      </c>
      <c r="H178" s="258">
        <f t="shared" si="2"/>
        <v>45.714285714285715</v>
      </c>
    </row>
    <row r="179" spans="1:8" s="86" customFormat="1" ht="12">
      <c r="A179" s="461"/>
      <c r="B179" s="263">
        <v>85410</v>
      </c>
      <c r="C179" s="263"/>
      <c r="D179" s="151" t="s">
        <v>52</v>
      </c>
      <c r="E179" s="323">
        <f>E180+E181+E182</f>
        <v>418114.48</v>
      </c>
      <c r="F179" s="323">
        <f>F180+F181+F182</f>
        <v>27076.379999999997</v>
      </c>
      <c r="G179" s="332">
        <v>0</v>
      </c>
      <c r="H179" s="258">
        <f t="shared" si="2"/>
        <v>6.4758292991909769</v>
      </c>
    </row>
    <row r="180" spans="1:8" s="86" customFormat="1" ht="56.25">
      <c r="A180" s="461"/>
      <c r="B180" s="460"/>
      <c r="C180" s="197" t="s">
        <v>27</v>
      </c>
      <c r="D180" s="151" t="s">
        <v>185</v>
      </c>
      <c r="E180" s="323">
        <v>8388</v>
      </c>
      <c r="F180" s="332">
        <v>11684.88</v>
      </c>
      <c r="G180" s="332">
        <v>0</v>
      </c>
      <c r="H180" s="258">
        <f t="shared" si="2"/>
        <v>139.30472103004291</v>
      </c>
    </row>
    <row r="181" spans="1:8" s="86" customFormat="1" ht="12">
      <c r="A181" s="461"/>
      <c r="B181" s="461"/>
      <c r="C181" s="197" t="s">
        <v>61</v>
      </c>
      <c r="D181" s="151" t="s">
        <v>63</v>
      </c>
      <c r="E181" s="323">
        <v>15500</v>
      </c>
      <c r="F181" s="332">
        <v>15391.5</v>
      </c>
      <c r="G181" s="332">
        <v>0</v>
      </c>
      <c r="H181" s="258">
        <f t="shared" si="2"/>
        <v>99.3</v>
      </c>
    </row>
    <row r="182" spans="1:8" s="86" customFormat="1" ht="56.25">
      <c r="A182" s="461"/>
      <c r="B182" s="462"/>
      <c r="C182" s="197">
        <v>6260</v>
      </c>
      <c r="D182" s="151" t="s">
        <v>302</v>
      </c>
      <c r="E182" s="323">
        <v>394226.48</v>
      </c>
      <c r="F182" s="332">
        <v>0</v>
      </c>
      <c r="G182" s="332">
        <v>0</v>
      </c>
      <c r="H182" s="258">
        <f t="shared" si="2"/>
        <v>0</v>
      </c>
    </row>
    <row r="183" spans="1:8" s="86" customFormat="1" ht="12">
      <c r="A183" s="461"/>
      <c r="B183" s="263">
        <v>85420</v>
      </c>
      <c r="C183" s="197"/>
      <c r="D183" s="151" t="s">
        <v>137</v>
      </c>
      <c r="E183" s="323">
        <f>E184+E185+E186</f>
        <v>33800</v>
      </c>
      <c r="F183" s="332">
        <f>F184+F185+F186</f>
        <v>12040.7</v>
      </c>
      <c r="G183" s="332">
        <v>0</v>
      </c>
      <c r="H183" s="258">
        <f t="shared" si="2"/>
        <v>35.623372781065093</v>
      </c>
    </row>
    <row r="184" spans="1:8" s="86" customFormat="1" ht="12">
      <c r="A184" s="461"/>
      <c r="B184" s="460"/>
      <c r="C184" s="197" t="s">
        <v>61</v>
      </c>
      <c r="D184" s="151" t="s">
        <v>63</v>
      </c>
      <c r="E184" s="323">
        <v>24000</v>
      </c>
      <c r="F184" s="332">
        <v>8859.35</v>
      </c>
      <c r="G184" s="332">
        <v>0</v>
      </c>
      <c r="H184" s="258">
        <f t="shared" si="2"/>
        <v>36.913958333333333</v>
      </c>
    </row>
    <row r="185" spans="1:8" s="86" customFormat="1" ht="12">
      <c r="A185" s="461"/>
      <c r="B185" s="461"/>
      <c r="C185" s="197" t="s">
        <v>55</v>
      </c>
      <c r="D185" s="151" t="s">
        <v>65</v>
      </c>
      <c r="E185" s="323">
        <v>800</v>
      </c>
      <c r="F185" s="332">
        <v>181.35</v>
      </c>
      <c r="G185" s="332">
        <v>0</v>
      </c>
      <c r="H185" s="258">
        <f t="shared" si="2"/>
        <v>22.668749999999999</v>
      </c>
    </row>
    <row r="186" spans="1:8" s="86" customFormat="1" ht="12">
      <c r="A186" s="462"/>
      <c r="B186" s="462"/>
      <c r="C186" s="197" t="s">
        <v>62</v>
      </c>
      <c r="D186" s="151" t="s">
        <v>64</v>
      </c>
      <c r="E186" s="323">
        <v>9000</v>
      </c>
      <c r="F186" s="332">
        <v>3000</v>
      </c>
      <c r="G186" s="332">
        <v>0</v>
      </c>
      <c r="H186" s="258">
        <f t="shared" si="2"/>
        <v>33.333333333333329</v>
      </c>
    </row>
    <row r="187" spans="1:8" s="86" customFormat="1" ht="21">
      <c r="A187" s="319">
        <v>900</v>
      </c>
      <c r="B187" s="319"/>
      <c r="C187" s="318"/>
      <c r="D187" s="217" t="s">
        <v>146</v>
      </c>
      <c r="E187" s="327">
        <f>E188</f>
        <v>266916</v>
      </c>
      <c r="F187" s="336">
        <f>F188</f>
        <v>218316.46000000002</v>
      </c>
      <c r="G187" s="332">
        <v>0</v>
      </c>
      <c r="H187" s="258">
        <f t="shared" si="2"/>
        <v>81.79219679599575</v>
      </c>
    </row>
    <row r="188" spans="1:8" s="86" customFormat="1" ht="33.75">
      <c r="A188" s="460"/>
      <c r="B188" s="308">
        <v>90019</v>
      </c>
      <c r="C188" s="197"/>
      <c r="D188" s="151" t="s">
        <v>304</v>
      </c>
      <c r="E188" s="323">
        <f>E189+E190+E191</f>
        <v>266916</v>
      </c>
      <c r="F188" s="332">
        <f>F189+F190+F191</f>
        <v>218316.46000000002</v>
      </c>
      <c r="G188" s="332">
        <v>0</v>
      </c>
      <c r="H188" s="258">
        <f t="shared" si="2"/>
        <v>81.79219679599575</v>
      </c>
    </row>
    <row r="189" spans="1:8" s="86" customFormat="1" ht="12">
      <c r="A189" s="461"/>
      <c r="B189" s="460"/>
      <c r="C189" s="197" t="s">
        <v>43</v>
      </c>
      <c r="D189" s="154" t="s">
        <v>44</v>
      </c>
      <c r="E189" s="323">
        <v>130000</v>
      </c>
      <c r="F189" s="332">
        <v>81124.17</v>
      </c>
      <c r="G189" s="332">
        <v>0</v>
      </c>
      <c r="H189" s="258">
        <f t="shared" si="2"/>
        <v>62.403207692307696</v>
      </c>
    </row>
    <row r="190" spans="1:8" s="86" customFormat="1" ht="12">
      <c r="A190" s="461"/>
      <c r="B190" s="461"/>
      <c r="C190" s="197" t="s">
        <v>55</v>
      </c>
      <c r="D190" s="151" t="s">
        <v>65</v>
      </c>
      <c r="E190" s="323">
        <v>16</v>
      </c>
      <c r="F190" s="332">
        <v>16.07</v>
      </c>
      <c r="G190" s="332">
        <v>0</v>
      </c>
      <c r="H190" s="258">
        <f t="shared" si="2"/>
        <v>100.4375</v>
      </c>
    </row>
    <row r="191" spans="1:8" s="86" customFormat="1" ht="12">
      <c r="A191" s="462"/>
      <c r="B191" s="462"/>
      <c r="C191" s="197" t="s">
        <v>62</v>
      </c>
      <c r="D191" s="151" t="s">
        <v>64</v>
      </c>
      <c r="E191" s="323">
        <v>136900</v>
      </c>
      <c r="F191" s="332">
        <v>137176.22</v>
      </c>
      <c r="G191" s="332">
        <v>0</v>
      </c>
      <c r="H191" s="258">
        <f t="shared" si="2"/>
        <v>100.20176771365961</v>
      </c>
    </row>
    <row r="192" spans="1:8" s="86" customFormat="1" ht="12">
      <c r="A192" s="319">
        <v>926</v>
      </c>
      <c r="B192" s="319"/>
      <c r="C192" s="318"/>
      <c r="D192" s="217" t="s">
        <v>105</v>
      </c>
      <c r="E192" s="327">
        <f>E193</f>
        <v>666000</v>
      </c>
      <c r="F192" s="336">
        <f>F193</f>
        <v>0</v>
      </c>
      <c r="G192" s="332">
        <v>0</v>
      </c>
      <c r="H192" s="258">
        <f t="shared" si="2"/>
        <v>0</v>
      </c>
    </row>
    <row r="193" spans="1:8" s="86" customFormat="1" ht="12">
      <c r="A193" s="460"/>
      <c r="B193" s="308">
        <v>92601</v>
      </c>
      <c r="C193" s="197"/>
      <c r="D193" s="151" t="s">
        <v>170</v>
      </c>
      <c r="E193" s="323">
        <f>E194+E195</f>
        <v>666000</v>
      </c>
      <c r="F193" s="332">
        <f>F194+F195</f>
        <v>0</v>
      </c>
      <c r="G193" s="332">
        <v>0</v>
      </c>
      <c r="H193" s="258">
        <f t="shared" si="2"/>
        <v>0</v>
      </c>
    </row>
    <row r="194" spans="1:8" s="86" customFormat="1" ht="56.25">
      <c r="A194" s="461"/>
      <c r="B194" s="460"/>
      <c r="C194" s="197">
        <v>6300</v>
      </c>
      <c r="D194" s="151" t="s">
        <v>300</v>
      </c>
      <c r="E194" s="323">
        <v>333000</v>
      </c>
      <c r="F194" s="332">
        <v>0</v>
      </c>
      <c r="G194" s="332">
        <v>0</v>
      </c>
      <c r="H194" s="258">
        <f t="shared" si="2"/>
        <v>0</v>
      </c>
    </row>
    <row r="195" spans="1:8" s="86" customFormat="1" ht="33.75">
      <c r="A195" s="462"/>
      <c r="B195" s="462"/>
      <c r="C195" s="197">
        <v>6430</v>
      </c>
      <c r="D195" s="151" t="s">
        <v>303</v>
      </c>
      <c r="E195" s="323">
        <v>333000</v>
      </c>
      <c r="F195" s="332">
        <v>0</v>
      </c>
      <c r="G195" s="332">
        <v>0</v>
      </c>
      <c r="H195" s="258">
        <f t="shared" si="2"/>
        <v>0</v>
      </c>
    </row>
    <row r="196" spans="1:8" s="86" customFormat="1" ht="12">
      <c r="A196" s="311" t="s">
        <v>32</v>
      </c>
      <c r="B196" s="311"/>
      <c r="C196" s="311"/>
      <c r="D196" s="311"/>
      <c r="E196" s="329">
        <f>E11+E16+E20+E28+E38+E46+E61+E71+E81+E90+E115+E120+E153+E169+E187+E192</f>
        <v>56066789.299999997</v>
      </c>
      <c r="F196" s="338">
        <f>F11+F16+F20+F28+F38+F46+F61+F71+F81+F90+F115+F120+F153+F169+F187+F192</f>
        <v>27007253.379999995</v>
      </c>
      <c r="G196" s="338">
        <f>G11+G16+G20+G28+G38+G46+G61+G71+G81+G90+G115+G120+G153+G169+G187+G192</f>
        <v>60742.25</v>
      </c>
      <c r="H196" s="259">
        <f t="shared" si="2"/>
        <v>48.278126798318368</v>
      </c>
    </row>
    <row r="197" spans="1:8" s="86" customFormat="1">
      <c r="A197"/>
      <c r="B197"/>
      <c r="C197"/>
      <c r="D197"/>
      <c r="E197" s="316"/>
      <c r="F197" s="37"/>
      <c r="G197" s="37"/>
      <c r="H197"/>
    </row>
    <row r="198" spans="1:8">
      <c r="F198" s="339"/>
    </row>
    <row r="200" spans="1:8">
      <c r="E200" s="317"/>
    </row>
  </sheetData>
  <mergeCells count="57">
    <mergeCell ref="H7:H9"/>
    <mergeCell ref="A17:A19"/>
    <mergeCell ref="A7:A9"/>
    <mergeCell ref="B7:B9"/>
    <mergeCell ref="C7:C9"/>
    <mergeCell ref="D7:D9"/>
    <mergeCell ref="E7:E9"/>
    <mergeCell ref="D1:H1"/>
    <mergeCell ref="A2:H2"/>
    <mergeCell ref="A3:H3"/>
    <mergeCell ref="A4:H4"/>
    <mergeCell ref="A5:H5"/>
    <mergeCell ref="B44:B45"/>
    <mergeCell ref="A39:A45"/>
    <mergeCell ref="F7:G7"/>
    <mergeCell ref="G8:G9"/>
    <mergeCell ref="F8:F9"/>
    <mergeCell ref="A29:A37"/>
    <mergeCell ref="B30:B37"/>
    <mergeCell ref="A12:A15"/>
    <mergeCell ref="B18:B19"/>
    <mergeCell ref="A21:A27"/>
    <mergeCell ref="B22:B25"/>
    <mergeCell ref="A82:A89"/>
    <mergeCell ref="B92:B94"/>
    <mergeCell ref="A62:A70"/>
    <mergeCell ref="A91:A114"/>
    <mergeCell ref="B110:B112"/>
    <mergeCell ref="B98:B102"/>
    <mergeCell ref="B104:B108"/>
    <mergeCell ref="A47:A60"/>
    <mergeCell ref="B63:B68"/>
    <mergeCell ref="A72:A80"/>
    <mergeCell ref="B73:B77"/>
    <mergeCell ref="B79:B80"/>
    <mergeCell ref="B55:B56"/>
    <mergeCell ref="B50:B53"/>
    <mergeCell ref="A116:A119"/>
    <mergeCell ref="B122:B130"/>
    <mergeCell ref="B139:B142"/>
    <mergeCell ref="B151:B152"/>
    <mergeCell ref="B180:B182"/>
    <mergeCell ref="A170:A186"/>
    <mergeCell ref="B175:B178"/>
    <mergeCell ref="B134:B137"/>
    <mergeCell ref="A154:A168"/>
    <mergeCell ref="B171:B173"/>
    <mergeCell ref="B164:B168"/>
    <mergeCell ref="A121:A152"/>
    <mergeCell ref="B184:B186"/>
    <mergeCell ref="B157:B160"/>
    <mergeCell ref="B146:B149"/>
    <mergeCell ref="A188:A191"/>
    <mergeCell ref="B189:B191"/>
    <mergeCell ref="A193:A195"/>
    <mergeCell ref="B194:B195"/>
    <mergeCell ref="D166:D167"/>
  </mergeCells>
  <pageMargins left="0.7" right="0.7" top="0.75" bottom="0.75" header="0.3" footer="0.3"/>
  <pageSetup paperSize="9" orientation="portrait" r:id="rId1"/>
  <headerFooter>
    <oddFooter>&amp;C&amp;"Times New (W1),Normalny"Tabela Nr 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57"/>
  <sheetViews>
    <sheetView view="pageLayout" workbookViewId="0">
      <selection activeCell="J89" sqref="J89"/>
    </sheetView>
  </sheetViews>
  <sheetFormatPr defaultRowHeight="12.75"/>
  <cols>
    <col min="1" max="1" width="15.140625" customWidth="1"/>
    <col min="2" max="2" width="19.42578125" customWidth="1"/>
    <col min="3" max="3" width="18.140625" customWidth="1"/>
    <col min="4" max="5" width="2.140625" customWidth="1"/>
    <col min="6" max="9" width="5.7109375" customWidth="1"/>
    <col min="10" max="10" width="60.42578125" customWidth="1"/>
    <col min="11" max="11" width="2.28515625" customWidth="1"/>
    <col min="16" max="16" width="5.140625" customWidth="1"/>
    <col min="17" max="17" width="9.140625" hidden="1" customWidth="1"/>
  </cols>
  <sheetData>
    <row r="2" spans="1:3">
      <c r="B2" t="s">
        <v>143</v>
      </c>
      <c r="C2" t="s">
        <v>134</v>
      </c>
    </row>
    <row r="3" spans="1:3">
      <c r="A3" s="36" t="s">
        <v>19</v>
      </c>
      <c r="B3" s="34">
        <v>125000</v>
      </c>
      <c r="C3" s="38">
        <v>4045.36</v>
      </c>
    </row>
    <row r="4" spans="1:3">
      <c r="A4" s="36" t="s">
        <v>20</v>
      </c>
      <c r="B4" s="29">
        <v>260000</v>
      </c>
      <c r="C4" s="39">
        <v>123664.79</v>
      </c>
    </row>
    <row r="5" spans="1:3">
      <c r="A5" s="36">
        <v>600</v>
      </c>
      <c r="B5" s="29">
        <v>2073890.03</v>
      </c>
      <c r="C5" s="39">
        <v>48932.68</v>
      </c>
    </row>
    <row r="6" spans="1:3">
      <c r="A6" s="36" t="s">
        <v>147</v>
      </c>
      <c r="B6" s="29">
        <v>321600</v>
      </c>
      <c r="C6" s="39">
        <v>120309.49</v>
      </c>
    </row>
    <row r="7" spans="1:3">
      <c r="A7" s="36" t="s">
        <v>148</v>
      </c>
      <c r="B7" s="29">
        <v>365173</v>
      </c>
      <c r="C7" s="39">
        <v>152111.57</v>
      </c>
    </row>
    <row r="8" spans="1:3">
      <c r="A8" s="36" t="s">
        <v>149</v>
      </c>
      <c r="B8" s="29">
        <v>2795530.82</v>
      </c>
      <c r="C8" s="39">
        <v>172245.85</v>
      </c>
    </row>
    <row r="9" spans="1:3">
      <c r="A9" s="2">
        <v>754</v>
      </c>
      <c r="B9" s="29">
        <v>3607275</v>
      </c>
      <c r="C9" s="39">
        <v>1848770.89</v>
      </c>
    </row>
    <row r="10" spans="1:3">
      <c r="A10" s="2">
        <v>756</v>
      </c>
      <c r="B10" s="29">
        <v>5873797</v>
      </c>
      <c r="C10" s="39">
        <v>2810073.06</v>
      </c>
    </row>
    <row r="11" spans="1:3">
      <c r="A11" s="2">
        <v>758</v>
      </c>
      <c r="B11" s="29">
        <v>28171325</v>
      </c>
      <c r="C11" s="39">
        <v>16128876.43</v>
      </c>
    </row>
    <row r="12" spans="1:3">
      <c r="A12" s="2">
        <v>801</v>
      </c>
      <c r="B12" s="29">
        <v>711182.39</v>
      </c>
      <c r="C12" s="39">
        <v>262342.88</v>
      </c>
    </row>
    <row r="13" spans="1:3">
      <c r="A13" s="2">
        <v>851</v>
      </c>
      <c r="B13" s="29">
        <v>3649610.69</v>
      </c>
      <c r="C13" s="39">
        <v>1153000</v>
      </c>
    </row>
    <row r="14" spans="1:3">
      <c r="A14" s="2">
        <v>852</v>
      </c>
      <c r="B14" s="29">
        <v>4445286.76</v>
      </c>
      <c r="C14" s="39">
        <v>2205247.54</v>
      </c>
    </row>
    <row r="15" spans="1:3">
      <c r="A15" s="360">
        <v>853</v>
      </c>
      <c r="B15" s="29">
        <v>2257748.13</v>
      </c>
      <c r="C15" s="39">
        <v>1755870.5</v>
      </c>
    </row>
    <row r="16" spans="1:3">
      <c r="A16" s="360">
        <v>854</v>
      </c>
      <c r="B16" s="29">
        <v>476454.48</v>
      </c>
      <c r="C16" s="39">
        <v>64188.13</v>
      </c>
    </row>
    <row r="17" spans="1:3">
      <c r="A17" s="2">
        <v>900</v>
      </c>
      <c r="B17" s="29">
        <v>266916</v>
      </c>
      <c r="C17" s="39">
        <v>218316.46</v>
      </c>
    </row>
    <row r="18" spans="1:3">
      <c r="A18" s="171">
        <v>926</v>
      </c>
      <c r="B18" s="29">
        <v>666000</v>
      </c>
      <c r="C18" s="39">
        <v>0</v>
      </c>
    </row>
    <row r="19" spans="1:3">
      <c r="A19" s="2"/>
      <c r="C19" s="29"/>
    </row>
    <row r="42" spans="1:10">
      <c r="A42" s="2"/>
      <c r="B42" s="2"/>
      <c r="C42" s="2"/>
      <c r="D42" s="2"/>
      <c r="E42" s="2"/>
      <c r="F42" s="2"/>
    </row>
    <row r="43" spans="1:10" ht="26.25" customHeight="1">
      <c r="A43" s="360">
        <v>7</v>
      </c>
      <c r="B43" s="360"/>
      <c r="C43" s="360"/>
      <c r="D43" s="360"/>
      <c r="E43" s="360"/>
      <c r="F43" s="360"/>
      <c r="G43" s="2"/>
      <c r="H43" s="2"/>
      <c r="I43" s="2"/>
      <c r="J43" s="2"/>
    </row>
    <row r="44" spans="1:10" ht="12.75" hidden="1" customHeight="1">
      <c r="A44" s="360"/>
      <c r="B44" s="360"/>
      <c r="C44" s="360"/>
      <c r="D44" s="360"/>
      <c r="E44" s="360"/>
      <c r="F44" s="360"/>
      <c r="G44" s="360"/>
      <c r="H44" s="360"/>
      <c r="I44" s="360"/>
      <c r="J44" s="360"/>
    </row>
    <row r="45" spans="1:10" ht="9.75" hidden="1" customHeight="1">
      <c r="A45" s="360"/>
      <c r="B45" s="360"/>
      <c r="C45" s="360"/>
      <c r="D45" s="360"/>
      <c r="E45" s="360"/>
      <c r="F45" s="360"/>
      <c r="G45" s="360"/>
      <c r="H45" s="360"/>
      <c r="I45" s="360"/>
      <c r="J45" s="360"/>
    </row>
    <row r="46" spans="1:10" ht="12.75" hidden="1" customHeight="1">
      <c r="A46" s="360"/>
      <c r="B46" s="360"/>
      <c r="C46" s="360"/>
      <c r="D46" s="360"/>
      <c r="E46" s="360"/>
      <c r="F46" s="360"/>
      <c r="G46" s="360"/>
      <c r="H46" s="360"/>
      <c r="I46" s="360"/>
      <c r="J46" s="360"/>
    </row>
    <row r="47" spans="1:10" ht="12.75" hidden="1" customHeight="1">
      <c r="G47" s="360"/>
      <c r="H47" s="360"/>
      <c r="I47" s="360"/>
      <c r="J47" s="360"/>
    </row>
    <row r="56" spans="1:10">
      <c r="A56" s="360"/>
      <c r="B56" s="360"/>
      <c r="C56" s="360"/>
      <c r="D56" s="360"/>
      <c r="E56" s="360"/>
      <c r="F56" s="360"/>
    </row>
    <row r="57" spans="1:10" ht="35.25" customHeight="1">
      <c r="G57" s="360"/>
      <c r="H57" s="360"/>
      <c r="I57" s="360"/>
      <c r="J57" s="360"/>
    </row>
  </sheetData>
  <phoneticPr fontId="0" type="noConversion"/>
  <pageMargins left="0.82677165354330717" right="0.62992125984251968" top="0.98425196850393704" bottom="0.98425196850393704" header="0.51181102362204722" footer="0.51181102362204722"/>
  <pageSetup paperSize="9" scale="63" orientation="portrait" r:id="rId1"/>
  <headerFooter alignWithMargins="0">
    <oddFooter>&amp;RWykres dochodów Powiatu Białogardzkiego w I półroczu 2010r.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60"/>
  <sheetViews>
    <sheetView view="pageLayout" topLeftCell="A25" workbookViewId="0">
      <selection activeCell="D34" sqref="D34:D37"/>
    </sheetView>
  </sheetViews>
  <sheetFormatPr defaultRowHeight="12.75"/>
  <cols>
    <col min="1" max="1" width="4.42578125" style="45" customWidth="1"/>
    <col min="2" max="2" width="5.42578125" style="45" customWidth="1"/>
    <col min="3" max="3" width="4.42578125" style="45" customWidth="1"/>
    <col min="4" max="4" width="39.140625" style="45" customWidth="1"/>
    <col min="5" max="5" width="10.28515625" style="45" customWidth="1"/>
    <col min="6" max="6" width="10.42578125" style="45" customWidth="1"/>
    <col min="7" max="7" width="10.42578125" style="357" customWidth="1"/>
    <col min="8" max="8" width="6.85546875" style="45" customWidth="1"/>
    <col min="9" max="16384" width="9.140625" style="45"/>
  </cols>
  <sheetData>
    <row r="1" spans="1:8">
      <c r="D1" s="483" t="s">
        <v>356</v>
      </c>
      <c r="E1" s="483"/>
      <c r="F1" s="483"/>
      <c r="G1" s="483"/>
      <c r="H1" s="483"/>
    </row>
    <row r="3" spans="1:8">
      <c r="A3" s="501" t="s">
        <v>2</v>
      </c>
      <c r="B3" s="501"/>
      <c r="C3" s="501"/>
      <c r="D3" s="501"/>
      <c r="E3" s="501"/>
      <c r="F3" s="501"/>
      <c r="G3" s="501"/>
      <c r="H3" s="501"/>
    </row>
    <row r="4" spans="1:8">
      <c r="A4" s="501" t="s">
        <v>3</v>
      </c>
      <c r="B4" s="501"/>
      <c r="C4" s="501"/>
      <c r="D4" s="501"/>
      <c r="E4" s="501"/>
      <c r="F4" s="501"/>
      <c r="G4" s="501"/>
      <c r="H4" s="501"/>
    </row>
    <row r="5" spans="1:8">
      <c r="A5" s="502" t="s">
        <v>5</v>
      </c>
      <c r="B5" s="502"/>
      <c r="C5" s="502"/>
      <c r="D5" s="502"/>
      <c r="E5" s="502"/>
      <c r="F5" s="502"/>
      <c r="G5" s="502"/>
      <c r="H5" s="502"/>
    </row>
    <row r="6" spans="1:8">
      <c r="A6" s="501" t="s">
        <v>315</v>
      </c>
      <c r="B6" s="501"/>
      <c r="C6" s="501"/>
      <c r="D6" s="501"/>
      <c r="E6" s="501"/>
      <c r="F6" s="501"/>
      <c r="G6" s="501"/>
      <c r="H6" s="501"/>
    </row>
    <row r="7" spans="1:8" ht="14.25" customHeight="1"/>
    <row r="8" spans="1:8">
      <c r="G8" s="244" t="s">
        <v>155</v>
      </c>
    </row>
    <row r="9" spans="1:8" s="116" customFormat="1" ht="11.25" customHeight="1">
      <c r="A9" s="498" t="s">
        <v>0</v>
      </c>
      <c r="B9" s="498" t="s">
        <v>68</v>
      </c>
      <c r="C9" s="498" t="s">
        <v>69</v>
      </c>
      <c r="D9" s="498" t="s">
        <v>1</v>
      </c>
      <c r="E9" s="495" t="s">
        <v>176</v>
      </c>
      <c r="F9" s="506" t="s">
        <v>134</v>
      </c>
      <c r="G9" s="506"/>
      <c r="H9" s="495" t="s">
        <v>135</v>
      </c>
    </row>
    <row r="10" spans="1:8" s="98" customFormat="1" ht="12.75" customHeight="1">
      <c r="A10" s="499"/>
      <c r="B10" s="499"/>
      <c r="C10" s="499"/>
      <c r="D10" s="499"/>
      <c r="E10" s="496"/>
      <c r="F10" s="496" t="s">
        <v>313</v>
      </c>
      <c r="G10" s="496" t="s">
        <v>314</v>
      </c>
      <c r="H10" s="496"/>
    </row>
    <row r="11" spans="1:8" s="116" customFormat="1" ht="11.25" customHeight="1">
      <c r="A11" s="500"/>
      <c r="B11" s="500"/>
      <c r="C11" s="500"/>
      <c r="D11" s="500"/>
      <c r="E11" s="497"/>
      <c r="F11" s="497"/>
      <c r="G11" s="497"/>
      <c r="H11" s="497"/>
    </row>
    <row r="12" spans="1:8" s="98" customFormat="1" ht="9" customHeight="1">
      <c r="A12" s="49">
        <v>1</v>
      </c>
      <c r="B12" s="49">
        <v>2</v>
      </c>
      <c r="C12" s="49">
        <v>3</v>
      </c>
      <c r="D12" s="49">
        <v>4</v>
      </c>
      <c r="E12" s="49">
        <v>5</v>
      </c>
      <c r="F12" s="49">
        <v>6</v>
      </c>
      <c r="G12" s="359">
        <v>7</v>
      </c>
      <c r="H12" s="359">
        <v>8</v>
      </c>
    </row>
    <row r="13" spans="1:8" s="117" customFormat="1" ht="12">
      <c r="A13" s="109" t="s">
        <v>19</v>
      </c>
      <c r="B13" s="109"/>
      <c r="C13" s="99"/>
      <c r="D13" s="110" t="s">
        <v>33</v>
      </c>
      <c r="E13" s="369">
        <f>E15+E16</f>
        <v>125000</v>
      </c>
      <c r="F13" s="369">
        <f>F15+F16</f>
        <v>4045.36</v>
      </c>
      <c r="G13" s="369"/>
      <c r="H13" s="371">
        <f>F13/E13*100</f>
        <v>3.2362880000000005</v>
      </c>
    </row>
    <row r="14" spans="1:8" s="102" customFormat="1" ht="12">
      <c r="A14" s="503" t="s">
        <v>18</v>
      </c>
      <c r="B14" s="106" t="s">
        <v>54</v>
      </c>
      <c r="C14" s="103"/>
      <c r="D14" s="373" t="s">
        <v>70</v>
      </c>
      <c r="E14" s="370">
        <f>E15</f>
        <v>125000</v>
      </c>
      <c r="F14" s="370">
        <f>F15</f>
        <v>3965</v>
      </c>
      <c r="G14" s="370"/>
      <c r="H14" s="372">
        <f>F14/E14*100</f>
        <v>3.1719999999999997</v>
      </c>
    </row>
    <row r="15" spans="1:8" s="102" customFormat="1" ht="33.75">
      <c r="A15" s="504"/>
      <c r="B15" s="96"/>
      <c r="C15" s="96">
        <v>2110</v>
      </c>
      <c r="D15" s="156" t="s">
        <v>71</v>
      </c>
      <c r="E15" s="370">
        <v>125000</v>
      </c>
      <c r="F15" s="370">
        <v>3965</v>
      </c>
      <c r="G15" s="370"/>
      <c r="H15" s="372">
        <f>F15/E15*100</f>
        <v>3.1719999999999997</v>
      </c>
    </row>
    <row r="16" spans="1:8" s="102" customFormat="1" ht="12">
      <c r="A16" s="504"/>
      <c r="B16" s="94" t="s">
        <v>127</v>
      </c>
      <c r="C16" s="96"/>
      <c r="D16" s="156" t="s">
        <v>128</v>
      </c>
      <c r="E16" s="370">
        <f>E17</f>
        <v>0</v>
      </c>
      <c r="F16" s="370">
        <f>F17</f>
        <v>80.36</v>
      </c>
      <c r="G16" s="370"/>
      <c r="H16" s="372"/>
    </row>
    <row r="17" spans="1:20" s="102" customFormat="1" ht="36.75" customHeight="1">
      <c r="A17" s="505"/>
      <c r="B17" s="96"/>
      <c r="C17" s="115">
        <v>2360</v>
      </c>
      <c r="D17" s="156" t="s">
        <v>138</v>
      </c>
      <c r="E17" s="370"/>
      <c r="F17" s="370">
        <v>80.36</v>
      </c>
      <c r="G17" s="370"/>
      <c r="H17" s="372"/>
    </row>
    <row r="18" spans="1:20" s="102" customFormat="1" ht="12">
      <c r="A18" s="112">
        <v>700</v>
      </c>
      <c r="B18" s="112"/>
      <c r="C18" s="112"/>
      <c r="D18" s="113" t="s">
        <v>35</v>
      </c>
      <c r="E18" s="369">
        <f>E19</f>
        <v>85000</v>
      </c>
      <c r="F18" s="369">
        <f>F19</f>
        <v>84348.160000000003</v>
      </c>
      <c r="G18" s="369"/>
      <c r="H18" s="371">
        <f t="shared" ref="H18:H27" si="0">F18/E18*100</f>
        <v>99.233129411764708</v>
      </c>
    </row>
    <row r="19" spans="1:20" s="102" customFormat="1" ht="12" customHeight="1">
      <c r="A19" s="503" t="s">
        <v>18</v>
      </c>
      <c r="B19" s="96">
        <v>70005</v>
      </c>
      <c r="C19" s="96"/>
      <c r="D19" s="156" t="s">
        <v>76</v>
      </c>
      <c r="E19" s="370">
        <f>SUM(E20:E21)</f>
        <v>85000</v>
      </c>
      <c r="F19" s="370">
        <f>SUM(F20:F21)</f>
        <v>84348.160000000003</v>
      </c>
      <c r="G19" s="370"/>
      <c r="H19" s="372">
        <f t="shared" si="0"/>
        <v>99.233129411764708</v>
      </c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</row>
    <row r="20" spans="1:20" s="117" customFormat="1" ht="33" customHeight="1">
      <c r="A20" s="504"/>
      <c r="B20" s="503"/>
      <c r="C20" s="96">
        <v>2110</v>
      </c>
      <c r="D20" s="156" t="s">
        <v>71</v>
      </c>
      <c r="E20" s="370">
        <v>15000</v>
      </c>
      <c r="F20" s="370">
        <v>6664</v>
      </c>
      <c r="G20" s="370"/>
      <c r="H20" s="372">
        <f t="shared" si="0"/>
        <v>44.426666666666662</v>
      </c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</row>
    <row r="21" spans="1:20" s="117" customFormat="1" ht="34.5" customHeight="1">
      <c r="A21" s="505"/>
      <c r="B21" s="505"/>
      <c r="C21" s="96">
        <v>2360</v>
      </c>
      <c r="D21" s="156" t="s">
        <v>138</v>
      </c>
      <c r="E21" s="370">
        <v>70000</v>
      </c>
      <c r="F21" s="370">
        <v>77684.160000000003</v>
      </c>
      <c r="G21" s="370"/>
      <c r="H21" s="372">
        <f t="shared" si="0"/>
        <v>110.97737142857143</v>
      </c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</row>
    <row r="22" spans="1:20" s="102" customFormat="1" ht="15" customHeight="1">
      <c r="A22" s="120">
        <v>710</v>
      </c>
      <c r="B22" s="109"/>
      <c r="C22" s="99"/>
      <c r="D22" s="113" t="s">
        <v>36</v>
      </c>
      <c r="E22" s="369">
        <f>E23+E25+E27</f>
        <v>365173</v>
      </c>
      <c r="F22" s="369">
        <f>F23+F25+F27</f>
        <v>152111.57</v>
      </c>
      <c r="G22" s="369"/>
      <c r="H22" s="371">
        <f t="shared" si="0"/>
        <v>41.654659572312305</v>
      </c>
    </row>
    <row r="23" spans="1:20" s="102" customFormat="1" ht="14.25" customHeight="1">
      <c r="A23" s="507" t="s">
        <v>18</v>
      </c>
      <c r="B23" s="121">
        <v>71013</v>
      </c>
      <c r="C23" s="103"/>
      <c r="D23" s="156" t="s">
        <v>77</v>
      </c>
      <c r="E23" s="370">
        <f>E24</f>
        <v>67000</v>
      </c>
      <c r="F23" s="370">
        <f>F24</f>
        <v>0</v>
      </c>
      <c r="G23" s="370"/>
      <c r="H23" s="372">
        <f t="shared" si="0"/>
        <v>0</v>
      </c>
    </row>
    <row r="24" spans="1:20" s="102" customFormat="1" ht="33.75" customHeight="1">
      <c r="A24" s="508"/>
      <c r="B24" s="122"/>
      <c r="C24" s="96">
        <v>2110</v>
      </c>
      <c r="D24" s="156" t="s">
        <v>71</v>
      </c>
      <c r="E24" s="370">
        <v>67000</v>
      </c>
      <c r="F24" s="370">
        <v>0</v>
      </c>
      <c r="G24" s="370"/>
      <c r="H24" s="372">
        <f t="shared" si="0"/>
        <v>0</v>
      </c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</row>
    <row r="25" spans="1:20" s="117" customFormat="1" ht="12">
      <c r="A25" s="508"/>
      <c r="B25" s="122">
        <v>71014</v>
      </c>
      <c r="C25" s="96"/>
      <c r="D25" s="156" t="s">
        <v>78</v>
      </c>
      <c r="E25" s="370">
        <f>E26</f>
        <v>17000</v>
      </c>
      <c r="F25" s="370">
        <f>F26</f>
        <v>0</v>
      </c>
      <c r="G25" s="370"/>
      <c r="H25" s="372">
        <f t="shared" si="0"/>
        <v>0</v>
      </c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</row>
    <row r="26" spans="1:20" s="102" customFormat="1" ht="33" customHeight="1">
      <c r="A26" s="508"/>
      <c r="B26" s="122"/>
      <c r="C26" s="96">
        <v>2110</v>
      </c>
      <c r="D26" s="156" t="s">
        <v>71</v>
      </c>
      <c r="E26" s="370">
        <v>17000</v>
      </c>
      <c r="F26" s="370">
        <v>0</v>
      </c>
      <c r="G26" s="370"/>
      <c r="H26" s="372">
        <f t="shared" si="0"/>
        <v>0</v>
      </c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</row>
    <row r="27" spans="1:20" s="102" customFormat="1" ht="12">
      <c r="A27" s="508"/>
      <c r="B27" s="353">
        <v>71015</v>
      </c>
      <c r="C27" s="96"/>
      <c r="D27" s="156" t="s">
        <v>79</v>
      </c>
      <c r="E27" s="370">
        <f>SUM(E28:E29)</f>
        <v>281173</v>
      </c>
      <c r="F27" s="370">
        <f>SUM(F28:F29)</f>
        <v>152111.57</v>
      </c>
      <c r="G27" s="370"/>
      <c r="H27" s="372">
        <f t="shared" si="0"/>
        <v>54.098924861206442</v>
      </c>
    </row>
    <row r="28" spans="1:20" s="102" customFormat="1" ht="12.75" customHeight="1">
      <c r="A28" s="508"/>
      <c r="B28" s="508"/>
      <c r="C28" s="123" t="s">
        <v>55</v>
      </c>
      <c r="D28" s="156" t="s">
        <v>65</v>
      </c>
      <c r="E28" s="370"/>
      <c r="F28" s="370">
        <v>140.57</v>
      </c>
      <c r="G28" s="370"/>
      <c r="H28" s="372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</row>
    <row r="29" spans="1:20" s="102" customFormat="1" ht="34.5" customHeight="1">
      <c r="A29" s="508"/>
      <c r="B29" s="508"/>
      <c r="C29" s="115">
        <v>2110</v>
      </c>
      <c r="D29" s="156" t="s">
        <v>71</v>
      </c>
      <c r="E29" s="370">
        <v>281173</v>
      </c>
      <c r="F29" s="370">
        <v>151971</v>
      </c>
      <c r="G29" s="370"/>
      <c r="H29" s="372">
        <f t="shared" ref="H29:H36" si="1">F29/E29*100</f>
        <v>54.048930729479714</v>
      </c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</row>
    <row r="30" spans="1:20" s="102" customFormat="1" ht="12">
      <c r="A30" s="99">
        <v>750</v>
      </c>
      <c r="B30" s="99"/>
      <c r="C30" s="99"/>
      <c r="D30" s="113" t="s">
        <v>37</v>
      </c>
      <c r="E30" s="369">
        <f>E31+E33</f>
        <v>133200</v>
      </c>
      <c r="F30" s="369">
        <f>F31+F33</f>
        <v>78630.73</v>
      </c>
      <c r="G30" s="369"/>
      <c r="H30" s="371">
        <f t="shared" si="1"/>
        <v>59.03207957957958</v>
      </c>
    </row>
    <row r="31" spans="1:20" s="102" customFormat="1" ht="12">
      <c r="A31" s="509" t="s">
        <v>18</v>
      </c>
      <c r="B31" s="103">
        <v>75011</v>
      </c>
      <c r="C31" s="103"/>
      <c r="D31" s="156" t="s">
        <v>82</v>
      </c>
      <c r="E31" s="370">
        <f>E32</f>
        <v>114200</v>
      </c>
      <c r="F31" s="370">
        <f>F32</f>
        <v>59635</v>
      </c>
      <c r="G31" s="370"/>
      <c r="H31" s="372">
        <f t="shared" si="1"/>
        <v>52.219789842381779</v>
      </c>
    </row>
    <row r="32" spans="1:20" s="102" customFormat="1" ht="33.75">
      <c r="A32" s="509"/>
      <c r="B32" s="103"/>
      <c r="C32" s="96">
        <v>2110</v>
      </c>
      <c r="D32" s="156" t="s">
        <v>71</v>
      </c>
      <c r="E32" s="370">
        <v>114200</v>
      </c>
      <c r="F32" s="370">
        <v>59635</v>
      </c>
      <c r="G32" s="370"/>
      <c r="H32" s="372">
        <f t="shared" si="1"/>
        <v>52.219789842381779</v>
      </c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</row>
    <row r="33" spans="1:8" s="102" customFormat="1" ht="12">
      <c r="A33" s="509"/>
      <c r="B33" s="103">
        <v>75045</v>
      </c>
      <c r="C33" s="103"/>
      <c r="D33" s="156" t="s">
        <v>409</v>
      </c>
      <c r="E33" s="370">
        <f>E34</f>
        <v>19000</v>
      </c>
      <c r="F33" s="370">
        <f>F34</f>
        <v>18995.73</v>
      </c>
      <c r="G33" s="370"/>
      <c r="H33" s="372">
        <f t="shared" si="1"/>
        <v>99.977526315789461</v>
      </c>
    </row>
    <row r="34" spans="1:8" s="102" customFormat="1" ht="33" customHeight="1">
      <c r="A34" s="509"/>
      <c r="B34" s="96"/>
      <c r="C34" s="96">
        <v>2110</v>
      </c>
      <c r="D34" s="156" t="s">
        <v>71</v>
      </c>
      <c r="E34" s="370">
        <v>19000</v>
      </c>
      <c r="F34" s="370">
        <v>18995.73</v>
      </c>
      <c r="G34" s="370"/>
      <c r="H34" s="372">
        <f t="shared" si="1"/>
        <v>99.977526315789461</v>
      </c>
    </row>
    <row r="35" spans="1:8" s="102" customFormat="1" ht="13.5" customHeight="1">
      <c r="A35" s="114">
        <v>754</v>
      </c>
      <c r="B35" s="112"/>
      <c r="C35" s="112"/>
      <c r="D35" s="113" t="s">
        <v>38</v>
      </c>
      <c r="E35" s="369">
        <f>E36</f>
        <v>3601112</v>
      </c>
      <c r="F35" s="369">
        <f>F36</f>
        <v>1792607.93</v>
      </c>
      <c r="G35" s="369">
        <f>G36</f>
        <v>50000</v>
      </c>
      <c r="H35" s="371">
        <f t="shared" si="1"/>
        <v>49.779288453122255</v>
      </c>
    </row>
    <row r="36" spans="1:8" s="102" customFormat="1" ht="12">
      <c r="A36" s="503" t="s">
        <v>18</v>
      </c>
      <c r="B36" s="124">
        <v>75411</v>
      </c>
      <c r="C36" s="96"/>
      <c r="D36" s="156" t="s">
        <v>46</v>
      </c>
      <c r="E36" s="370">
        <f>SUM(E37:E42)</f>
        <v>3601112</v>
      </c>
      <c r="F36" s="370">
        <f>SUM(F37:F42)</f>
        <v>1792607.93</v>
      </c>
      <c r="G36" s="370">
        <f>SUM(G37:G42)</f>
        <v>50000</v>
      </c>
      <c r="H36" s="372">
        <f t="shared" si="1"/>
        <v>49.779288453122255</v>
      </c>
    </row>
    <row r="37" spans="1:8" s="102" customFormat="1" ht="12">
      <c r="A37" s="504"/>
      <c r="B37" s="503"/>
      <c r="C37" s="123" t="s">
        <v>55</v>
      </c>
      <c r="D37" s="156" t="s">
        <v>65</v>
      </c>
      <c r="E37" s="370"/>
      <c r="F37" s="370">
        <v>1986.74</v>
      </c>
      <c r="G37" s="370"/>
      <c r="H37" s="372"/>
    </row>
    <row r="38" spans="1:8" s="102" customFormat="1" ht="12">
      <c r="A38" s="504"/>
      <c r="B38" s="504"/>
      <c r="C38" s="123" t="s">
        <v>62</v>
      </c>
      <c r="D38" s="156" t="s">
        <v>64</v>
      </c>
      <c r="E38" s="370"/>
      <c r="F38" s="370">
        <v>374</v>
      </c>
      <c r="G38" s="370"/>
      <c r="H38" s="372"/>
    </row>
    <row r="39" spans="1:8" s="102" customFormat="1" ht="33.75">
      <c r="A39" s="504"/>
      <c r="B39" s="504"/>
      <c r="C39" s="115">
        <v>2110</v>
      </c>
      <c r="D39" s="156" t="s">
        <v>71</v>
      </c>
      <c r="E39" s="370">
        <v>2901112</v>
      </c>
      <c r="F39" s="370">
        <v>1790236</v>
      </c>
      <c r="G39" s="370"/>
      <c r="H39" s="372">
        <f>F39/E39*100</f>
        <v>61.708613800501325</v>
      </c>
    </row>
    <row r="40" spans="1:8" s="102" customFormat="1" ht="33.75">
      <c r="A40" s="504"/>
      <c r="B40" s="504"/>
      <c r="C40" s="115">
        <v>2360</v>
      </c>
      <c r="D40" s="156" t="s">
        <v>138</v>
      </c>
      <c r="E40" s="370"/>
      <c r="F40" s="370">
        <v>11.19</v>
      </c>
      <c r="G40" s="370"/>
      <c r="H40" s="372"/>
    </row>
    <row r="41" spans="1:8" s="102" customFormat="1" ht="45">
      <c r="A41" s="504"/>
      <c r="B41" s="504"/>
      <c r="C41" s="115">
        <v>6300</v>
      </c>
      <c r="D41" s="151" t="s">
        <v>300</v>
      </c>
      <c r="E41" s="370">
        <v>50000</v>
      </c>
      <c r="F41" s="370">
        <v>0</v>
      </c>
      <c r="G41" s="370">
        <v>50000</v>
      </c>
      <c r="H41" s="372">
        <f>(F41+G41)/E41*100</f>
        <v>100</v>
      </c>
    </row>
    <row r="42" spans="1:8" s="102" customFormat="1" ht="33.75">
      <c r="A42" s="505"/>
      <c r="B42" s="505"/>
      <c r="C42" s="115">
        <v>6410</v>
      </c>
      <c r="D42" s="151" t="s">
        <v>301</v>
      </c>
      <c r="E42" s="370">
        <v>650000</v>
      </c>
      <c r="F42" s="370">
        <v>0</v>
      </c>
      <c r="G42" s="370"/>
      <c r="H42" s="372">
        <f t="shared" ref="H42:H47" si="2">F42/E42*100</f>
        <v>0</v>
      </c>
    </row>
    <row r="43" spans="1:8" s="102" customFormat="1" ht="12.75" customHeight="1">
      <c r="A43" s="125">
        <v>851</v>
      </c>
      <c r="B43" s="125"/>
      <c r="C43" s="112"/>
      <c r="D43" s="97" t="s">
        <v>40</v>
      </c>
      <c r="E43" s="369">
        <f>E44</f>
        <v>2810000</v>
      </c>
      <c r="F43" s="369">
        <f>F44</f>
        <v>1153000</v>
      </c>
      <c r="G43" s="369"/>
      <c r="H43" s="371">
        <f t="shared" si="2"/>
        <v>41.032028469750891</v>
      </c>
    </row>
    <row r="44" spans="1:8" s="102" customFormat="1" ht="12">
      <c r="A44" s="504"/>
      <c r="B44" s="96">
        <v>85156</v>
      </c>
      <c r="C44" s="96"/>
      <c r="D44" s="374" t="s">
        <v>94</v>
      </c>
      <c r="E44" s="370">
        <f>E45</f>
        <v>2810000</v>
      </c>
      <c r="F44" s="370">
        <f>F45</f>
        <v>1153000</v>
      </c>
      <c r="G44" s="370"/>
      <c r="H44" s="372">
        <f t="shared" si="2"/>
        <v>41.032028469750891</v>
      </c>
    </row>
    <row r="45" spans="1:8" s="102" customFormat="1" ht="33" customHeight="1">
      <c r="A45" s="504"/>
      <c r="B45" s="96"/>
      <c r="C45" s="96">
        <v>2110</v>
      </c>
      <c r="D45" s="156" t="s">
        <v>71</v>
      </c>
      <c r="E45" s="370">
        <v>2810000</v>
      </c>
      <c r="F45" s="370">
        <v>1153000</v>
      </c>
      <c r="G45" s="370"/>
      <c r="H45" s="372">
        <f t="shared" si="2"/>
        <v>41.032028469750891</v>
      </c>
    </row>
    <row r="46" spans="1:8" s="102" customFormat="1" ht="12">
      <c r="A46" s="112">
        <v>852</v>
      </c>
      <c r="B46" s="112"/>
      <c r="C46" s="112"/>
      <c r="D46" s="113" t="s">
        <v>41</v>
      </c>
      <c r="E46" s="369">
        <f>E47+E52</f>
        <v>692000</v>
      </c>
      <c r="F46" s="369">
        <f>F47+F52</f>
        <v>387103.05000000005</v>
      </c>
      <c r="G46" s="369"/>
      <c r="H46" s="371">
        <f t="shared" si="2"/>
        <v>55.939747109826598</v>
      </c>
    </row>
    <row r="47" spans="1:8" s="102" customFormat="1" ht="12">
      <c r="A47" s="503"/>
      <c r="B47" s="96">
        <v>85203</v>
      </c>
      <c r="C47" s="96"/>
      <c r="D47" s="156" t="s">
        <v>97</v>
      </c>
      <c r="E47" s="370">
        <f>SUM(E48:E51)</f>
        <v>371500</v>
      </c>
      <c r="F47" s="370">
        <f>SUM(F48:F51)</f>
        <v>216603.05000000002</v>
      </c>
      <c r="G47" s="370"/>
      <c r="H47" s="372">
        <f t="shared" si="2"/>
        <v>58.304993270524911</v>
      </c>
    </row>
    <row r="48" spans="1:8" s="102" customFormat="1" ht="45">
      <c r="A48" s="504"/>
      <c r="B48" s="504"/>
      <c r="C48" s="94" t="s">
        <v>27</v>
      </c>
      <c r="D48" s="156" t="s">
        <v>139</v>
      </c>
      <c r="E48" s="370">
        <v>0</v>
      </c>
      <c r="F48" s="370">
        <v>10600</v>
      </c>
      <c r="G48" s="370"/>
      <c r="H48" s="372"/>
    </row>
    <row r="49" spans="1:8" s="102" customFormat="1" ht="12">
      <c r="A49" s="504"/>
      <c r="B49" s="504"/>
      <c r="C49" s="94" t="s">
        <v>55</v>
      </c>
      <c r="D49" s="156" t="s">
        <v>65</v>
      </c>
      <c r="E49" s="370">
        <v>0</v>
      </c>
      <c r="F49" s="370">
        <v>275.64</v>
      </c>
      <c r="G49" s="370"/>
      <c r="H49" s="372"/>
    </row>
    <row r="50" spans="1:8" s="102" customFormat="1" ht="33.75">
      <c r="A50" s="504"/>
      <c r="B50" s="504"/>
      <c r="C50" s="96">
        <v>2110</v>
      </c>
      <c r="D50" s="156" t="s">
        <v>71</v>
      </c>
      <c r="E50" s="370">
        <v>371500</v>
      </c>
      <c r="F50" s="370">
        <v>205573</v>
      </c>
      <c r="G50" s="370"/>
      <c r="H50" s="372">
        <f>F50/E50*100</f>
        <v>55.335935397039023</v>
      </c>
    </row>
    <row r="51" spans="1:8" s="102" customFormat="1" ht="33.75">
      <c r="A51" s="504"/>
      <c r="B51" s="505"/>
      <c r="C51" s="96">
        <v>2360</v>
      </c>
      <c r="D51" s="156" t="s">
        <v>138</v>
      </c>
      <c r="E51" s="370">
        <v>0</v>
      </c>
      <c r="F51" s="370">
        <v>154.41</v>
      </c>
      <c r="G51" s="370"/>
      <c r="H51" s="372"/>
    </row>
    <row r="52" spans="1:8" s="102" customFormat="1" ht="13.5" customHeight="1">
      <c r="A52" s="504"/>
      <c r="B52" s="352">
        <v>85205</v>
      </c>
      <c r="C52" s="354"/>
      <c r="D52" s="151" t="s">
        <v>305</v>
      </c>
      <c r="E52" s="370">
        <f>E53</f>
        <v>320500</v>
      </c>
      <c r="F52" s="370">
        <f>F53</f>
        <v>170500</v>
      </c>
      <c r="G52" s="370"/>
      <c r="H52" s="372">
        <f t="shared" ref="H52:H59" si="3">F52/E52*100</f>
        <v>53.198127925116999</v>
      </c>
    </row>
    <row r="53" spans="1:8" s="102" customFormat="1" ht="33.75">
      <c r="A53" s="505"/>
      <c r="B53" s="352"/>
      <c r="C53" s="354">
        <v>2110</v>
      </c>
      <c r="D53" s="156" t="s">
        <v>71</v>
      </c>
      <c r="E53" s="370">
        <v>320500</v>
      </c>
      <c r="F53" s="370">
        <v>170500</v>
      </c>
      <c r="G53" s="370"/>
      <c r="H53" s="372">
        <f t="shared" si="3"/>
        <v>53.198127925116999</v>
      </c>
    </row>
    <row r="54" spans="1:8" s="102" customFormat="1" ht="12">
      <c r="A54" s="112">
        <v>853</v>
      </c>
      <c r="B54" s="112"/>
      <c r="C54" s="111"/>
      <c r="D54" s="113" t="s">
        <v>42</v>
      </c>
      <c r="E54" s="369">
        <f>E55+E57</f>
        <v>119643</v>
      </c>
      <c r="F54" s="369">
        <f>F55+F57</f>
        <v>80643</v>
      </c>
      <c r="G54" s="369"/>
      <c r="H54" s="371">
        <f t="shared" si="3"/>
        <v>67.403023996389251</v>
      </c>
    </row>
    <row r="55" spans="1:8" s="102" customFormat="1" ht="12">
      <c r="A55" s="494" t="s">
        <v>18</v>
      </c>
      <c r="B55" s="96">
        <v>85321</v>
      </c>
      <c r="C55" s="96"/>
      <c r="D55" s="156" t="s">
        <v>100</v>
      </c>
      <c r="E55" s="370">
        <f>E56</f>
        <v>78000</v>
      </c>
      <c r="F55" s="370">
        <f>F56</f>
        <v>39000</v>
      </c>
      <c r="G55" s="370"/>
      <c r="H55" s="372">
        <f t="shared" si="3"/>
        <v>50</v>
      </c>
    </row>
    <row r="56" spans="1:8" s="102" customFormat="1" ht="33.75">
      <c r="A56" s="494"/>
      <c r="B56" s="96"/>
      <c r="C56" s="96">
        <v>2110</v>
      </c>
      <c r="D56" s="156" t="s">
        <v>71</v>
      </c>
      <c r="E56" s="370">
        <v>78000</v>
      </c>
      <c r="F56" s="370">
        <v>39000</v>
      </c>
      <c r="G56" s="370"/>
      <c r="H56" s="372">
        <f t="shared" si="3"/>
        <v>50</v>
      </c>
    </row>
    <row r="57" spans="1:8" s="102" customFormat="1" ht="12">
      <c r="A57" s="494"/>
      <c r="B57" s="96">
        <v>85334</v>
      </c>
      <c r="C57" s="94"/>
      <c r="D57" s="156" t="s">
        <v>132</v>
      </c>
      <c r="E57" s="370">
        <f>E58</f>
        <v>41643</v>
      </c>
      <c r="F57" s="370">
        <f>F58</f>
        <v>41643</v>
      </c>
      <c r="G57" s="370"/>
      <c r="H57" s="372">
        <f t="shared" si="3"/>
        <v>100</v>
      </c>
    </row>
    <row r="58" spans="1:8" s="102" customFormat="1" ht="33.75">
      <c r="A58" s="494"/>
      <c r="B58" s="96"/>
      <c r="C58" s="96">
        <v>2110</v>
      </c>
      <c r="D58" s="156" t="s">
        <v>71</v>
      </c>
      <c r="E58" s="370">
        <v>41643</v>
      </c>
      <c r="F58" s="370">
        <v>41643</v>
      </c>
      <c r="G58" s="370"/>
      <c r="H58" s="372">
        <f t="shared" si="3"/>
        <v>100</v>
      </c>
    </row>
    <row r="59" spans="1:8" s="102" customFormat="1" ht="12">
      <c r="A59" s="491" t="s">
        <v>32</v>
      </c>
      <c r="B59" s="492"/>
      <c r="C59" s="492"/>
      <c r="D59" s="493"/>
      <c r="E59" s="369">
        <f>E13+E18+E22+E30+E35+E43+E46+E54</f>
        <v>7931128</v>
      </c>
      <c r="F59" s="369">
        <f>F13+F18+F22+F30+F35+F43+F46+F54</f>
        <v>3732489.8</v>
      </c>
      <c r="G59" s="369">
        <f>G13+G18+G22+G30+G35+G43+G46+G54</f>
        <v>50000</v>
      </c>
      <c r="H59" s="371">
        <f t="shared" si="3"/>
        <v>47.061272999250548</v>
      </c>
    </row>
    <row r="60" spans="1:8" s="102" customFormat="1" ht="12"/>
  </sheetData>
  <mergeCells count="27">
    <mergeCell ref="F10:F11"/>
    <mergeCell ref="G10:G11"/>
    <mergeCell ref="A14:A17"/>
    <mergeCell ref="B48:B51"/>
    <mergeCell ref="A36:A42"/>
    <mergeCell ref="B37:B42"/>
    <mergeCell ref="A23:A29"/>
    <mergeCell ref="B28:B29"/>
    <mergeCell ref="A44:A45"/>
    <mergeCell ref="A31:A34"/>
    <mergeCell ref="A47:A53"/>
    <mergeCell ref="A59:D59"/>
    <mergeCell ref="A55:A58"/>
    <mergeCell ref="D1:H1"/>
    <mergeCell ref="H9:H11"/>
    <mergeCell ref="C9:C11"/>
    <mergeCell ref="D9:D11"/>
    <mergeCell ref="A4:H4"/>
    <mergeCell ref="A3:H3"/>
    <mergeCell ref="A5:H5"/>
    <mergeCell ref="A6:H6"/>
    <mergeCell ref="E9:E11"/>
    <mergeCell ref="A9:A11"/>
    <mergeCell ref="B9:B11"/>
    <mergeCell ref="A19:A21"/>
    <mergeCell ref="B20:B21"/>
    <mergeCell ref="F9:G9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>
    <oddFooter>&amp;C&amp;"Times New (W1),Normalny"Tabela Nr 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19"/>
  <sheetViews>
    <sheetView view="pageLayout" topLeftCell="A4" workbookViewId="0">
      <selection activeCell="A19" sqref="A19:D19"/>
    </sheetView>
  </sheetViews>
  <sheetFormatPr defaultRowHeight="12.75"/>
  <cols>
    <col min="1" max="1" width="4.85546875" style="45" customWidth="1"/>
    <col min="2" max="2" width="6.42578125" style="45" customWidth="1"/>
    <col min="3" max="3" width="5.7109375" style="45" customWidth="1"/>
    <col min="4" max="4" width="38.28515625" style="45" customWidth="1"/>
    <col min="5" max="6" width="11.5703125" style="45" customWidth="1"/>
    <col min="7" max="7" width="7.42578125" style="45" customWidth="1"/>
    <col min="8" max="16384" width="9.140625" style="45"/>
  </cols>
  <sheetData>
    <row r="1" spans="1:7">
      <c r="E1" s="483" t="s">
        <v>355</v>
      </c>
      <c r="F1" s="483"/>
      <c r="G1" s="483"/>
    </row>
    <row r="6" spans="1:7">
      <c r="A6" s="501" t="s">
        <v>2</v>
      </c>
      <c r="B6" s="501"/>
      <c r="C6" s="501"/>
      <c r="D6" s="501"/>
      <c r="E6" s="501"/>
      <c r="F6" s="501"/>
      <c r="G6" s="501"/>
    </row>
    <row r="7" spans="1:7">
      <c r="A7" s="501" t="s">
        <v>3</v>
      </c>
      <c r="B7" s="501"/>
      <c r="C7" s="501"/>
      <c r="D7" s="501"/>
      <c r="E7" s="501"/>
      <c r="F7" s="501"/>
      <c r="G7" s="501"/>
    </row>
    <row r="8" spans="1:7" ht="27.75" customHeight="1">
      <c r="A8" s="502" t="s">
        <v>6</v>
      </c>
      <c r="B8" s="502"/>
      <c r="C8" s="502"/>
      <c r="D8" s="502"/>
      <c r="E8" s="502"/>
      <c r="F8" s="502"/>
      <c r="G8" s="502"/>
    </row>
    <row r="9" spans="1:7">
      <c r="A9" s="501" t="s">
        <v>306</v>
      </c>
      <c r="B9" s="501"/>
      <c r="C9" s="501"/>
      <c r="D9" s="501"/>
      <c r="E9" s="501"/>
      <c r="F9" s="501"/>
      <c r="G9" s="501"/>
    </row>
    <row r="11" spans="1:7">
      <c r="F11" s="244" t="s">
        <v>156</v>
      </c>
    </row>
    <row r="12" spans="1:7" s="116" customFormat="1" ht="10.5">
      <c r="A12" s="498" t="s">
        <v>0</v>
      </c>
      <c r="B12" s="498" t="s">
        <v>68</v>
      </c>
      <c r="C12" s="498" t="s">
        <v>69</v>
      </c>
      <c r="D12" s="498" t="s">
        <v>1</v>
      </c>
      <c r="E12" s="495" t="s">
        <v>176</v>
      </c>
      <c r="F12" s="495" t="s">
        <v>261</v>
      </c>
      <c r="G12" s="495" t="s">
        <v>135</v>
      </c>
    </row>
    <row r="13" spans="1:7" s="98" customFormat="1" ht="11.25">
      <c r="A13" s="499"/>
      <c r="B13" s="499"/>
      <c r="C13" s="499"/>
      <c r="D13" s="499"/>
      <c r="E13" s="496"/>
      <c r="F13" s="496"/>
      <c r="G13" s="496"/>
    </row>
    <row r="14" spans="1:7" s="116" customFormat="1" ht="10.5">
      <c r="A14" s="500"/>
      <c r="B14" s="500"/>
      <c r="C14" s="500"/>
      <c r="D14" s="500"/>
      <c r="E14" s="497"/>
      <c r="F14" s="497"/>
      <c r="G14" s="497"/>
    </row>
    <row r="15" spans="1:7" s="98" customFormat="1" ht="9" customHeight="1">
      <c r="A15" s="49">
        <v>1</v>
      </c>
      <c r="B15" s="49">
        <v>2</v>
      </c>
      <c r="C15" s="49">
        <v>3</v>
      </c>
      <c r="D15" s="49">
        <v>4</v>
      </c>
      <c r="E15" s="49">
        <v>5</v>
      </c>
      <c r="F15" s="49">
        <v>6</v>
      </c>
      <c r="G15" s="49">
        <v>7</v>
      </c>
    </row>
    <row r="16" spans="1:7" s="102" customFormat="1" ht="14.25" customHeight="1">
      <c r="A16" s="99">
        <v>750</v>
      </c>
      <c r="B16" s="99"/>
      <c r="C16" s="99"/>
      <c r="D16" s="113" t="s">
        <v>37</v>
      </c>
      <c r="E16" s="119">
        <f>E17</f>
        <v>1000</v>
      </c>
      <c r="F16" s="100">
        <f>F17</f>
        <v>0</v>
      </c>
      <c r="G16" s="101">
        <f t="shared" ref="G16:G19" si="0">F16/E16*100</f>
        <v>0</v>
      </c>
    </row>
    <row r="17" spans="1:7" s="102" customFormat="1" ht="12">
      <c r="A17" s="509"/>
      <c r="B17" s="103">
        <v>75045</v>
      </c>
      <c r="C17" s="103"/>
      <c r="D17" s="76" t="s">
        <v>409</v>
      </c>
      <c r="E17" s="118">
        <f>E18</f>
        <v>1000</v>
      </c>
      <c r="F17" s="104">
        <f>F18</f>
        <v>0</v>
      </c>
      <c r="G17" s="105">
        <f t="shared" si="0"/>
        <v>0</v>
      </c>
    </row>
    <row r="18" spans="1:7" s="102" customFormat="1" ht="36.75" customHeight="1">
      <c r="A18" s="509"/>
      <c r="B18" s="96"/>
      <c r="C18" s="96">
        <v>2120</v>
      </c>
      <c r="D18" s="76" t="s">
        <v>30</v>
      </c>
      <c r="E18" s="118">
        <v>1000</v>
      </c>
      <c r="F18" s="104">
        <v>0</v>
      </c>
      <c r="G18" s="105">
        <f t="shared" si="0"/>
        <v>0</v>
      </c>
    </row>
    <row r="19" spans="1:7" s="102" customFormat="1" ht="12">
      <c r="A19" s="510" t="s">
        <v>32</v>
      </c>
      <c r="B19" s="510"/>
      <c r="C19" s="510"/>
      <c r="D19" s="510"/>
      <c r="E19" s="119">
        <f>E16</f>
        <v>1000</v>
      </c>
      <c r="F19" s="100">
        <f>F16</f>
        <v>0</v>
      </c>
      <c r="G19" s="101">
        <f t="shared" si="0"/>
        <v>0</v>
      </c>
    </row>
  </sheetData>
  <mergeCells count="14">
    <mergeCell ref="E1:G1"/>
    <mergeCell ref="A6:G6"/>
    <mergeCell ref="A7:G7"/>
    <mergeCell ref="A8:G8"/>
    <mergeCell ref="A9:G9"/>
    <mergeCell ref="A19:D19"/>
    <mergeCell ref="A17:A18"/>
    <mergeCell ref="F12:F14"/>
    <mergeCell ref="G12:G14"/>
    <mergeCell ref="E12:E14"/>
    <mergeCell ref="A12:A14"/>
    <mergeCell ref="B12:B14"/>
    <mergeCell ref="C12:C14"/>
    <mergeCell ref="D12:D14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>
    <oddFooter>&amp;C&amp;"Times New (W1),Normalny"Tabela Nr 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G96"/>
  <sheetViews>
    <sheetView view="pageLayout" workbookViewId="0">
      <selection activeCell="C37" sqref="C37"/>
    </sheetView>
  </sheetViews>
  <sheetFormatPr defaultRowHeight="12.75"/>
  <cols>
    <col min="1" max="1" width="4.42578125" customWidth="1"/>
    <col min="2" max="2" width="6" customWidth="1"/>
    <col min="3" max="3" width="25.42578125" customWidth="1"/>
    <col min="4" max="4" width="10.7109375" customWidth="1"/>
    <col min="5" max="5" width="11.28515625" customWidth="1"/>
    <col min="6" max="6" width="11" customWidth="1"/>
    <col min="7" max="7" width="10.7109375" customWidth="1"/>
    <col min="8" max="8" width="10.140625" customWidth="1"/>
    <col min="9" max="9" width="10" customWidth="1"/>
    <col min="10" max="10" width="9.7109375" customWidth="1"/>
    <col min="11" max="11" width="9" customWidth="1"/>
    <col min="12" max="12" width="8.85546875" customWidth="1"/>
    <col min="13" max="13" width="9.85546875" customWidth="1"/>
    <col min="14" max="14" width="6.42578125" style="147" customWidth="1"/>
  </cols>
  <sheetData>
    <row r="1" spans="1:33">
      <c r="A1" s="42"/>
      <c r="B1" s="42"/>
      <c r="C1" s="42"/>
      <c r="D1" s="42"/>
      <c r="E1" s="42"/>
      <c r="F1" s="42"/>
      <c r="G1" s="42"/>
      <c r="H1" s="42"/>
      <c r="I1" s="515" t="s">
        <v>357</v>
      </c>
      <c r="J1" s="515"/>
      <c r="K1" s="515"/>
      <c r="L1" s="515"/>
      <c r="M1" s="515"/>
      <c r="N1" s="515"/>
    </row>
    <row r="2" spans="1:33" ht="14.25">
      <c r="A2" s="511" t="s">
        <v>7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</row>
    <row r="3" spans="1:33" ht="14.25">
      <c r="A3" s="511" t="s">
        <v>3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</row>
    <row r="4" spans="1:33" ht="15.75" customHeight="1">
      <c r="A4" s="512" t="s">
        <v>4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</row>
    <row r="5" spans="1:33" ht="14.25">
      <c r="A5" s="511" t="s">
        <v>306</v>
      </c>
      <c r="B5" s="511"/>
      <c r="C5" s="511"/>
      <c r="D5" s="511"/>
      <c r="E5" s="511"/>
      <c r="F5" s="511"/>
      <c r="G5" s="511"/>
      <c r="H5" s="511"/>
      <c r="I5" s="511"/>
      <c r="J5" s="511"/>
      <c r="K5" s="511"/>
      <c r="L5" s="511"/>
      <c r="M5" s="511"/>
      <c r="N5" s="511"/>
    </row>
    <row r="6" spans="1:3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148"/>
    </row>
    <row r="7" spans="1:33">
      <c r="A7" s="42" t="s">
        <v>358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82" t="s">
        <v>155</v>
      </c>
    </row>
    <row r="8" spans="1:33" s="6" customFormat="1" ht="12.75" customHeight="1">
      <c r="A8" s="513" t="s">
        <v>0</v>
      </c>
      <c r="B8" s="513" t="s">
        <v>8</v>
      </c>
      <c r="C8" s="513" t="s">
        <v>1</v>
      </c>
      <c r="D8" s="514" t="s">
        <v>176</v>
      </c>
      <c r="E8" s="485" t="s">
        <v>134</v>
      </c>
      <c r="F8" s="516" t="s">
        <v>161</v>
      </c>
      <c r="G8" s="517"/>
      <c r="H8" s="517"/>
      <c r="I8" s="517"/>
      <c r="J8" s="517"/>
      <c r="K8" s="517"/>
      <c r="L8" s="517"/>
      <c r="M8" s="517"/>
      <c r="N8" s="519" t="s">
        <v>131</v>
      </c>
    </row>
    <row r="9" spans="1:33" s="6" customFormat="1" ht="12.75" customHeight="1">
      <c r="A9" s="513"/>
      <c r="B9" s="513"/>
      <c r="C9" s="513"/>
      <c r="D9" s="514"/>
      <c r="E9" s="486"/>
      <c r="F9" s="518" t="s">
        <v>9</v>
      </c>
      <c r="G9" s="522" t="s">
        <v>10</v>
      </c>
      <c r="H9" s="523"/>
      <c r="I9" s="523"/>
      <c r="J9" s="523"/>
      <c r="K9" s="523"/>
      <c r="L9" s="524"/>
      <c r="M9" s="513" t="s">
        <v>162</v>
      </c>
      <c r="N9" s="520"/>
    </row>
    <row r="10" spans="1:33" s="6" customFormat="1" ht="73.5" customHeight="1">
      <c r="A10" s="513"/>
      <c r="B10" s="513"/>
      <c r="C10" s="513"/>
      <c r="D10" s="514"/>
      <c r="E10" s="487"/>
      <c r="F10" s="518"/>
      <c r="G10" s="157" t="s">
        <v>307</v>
      </c>
      <c r="H10" s="157" t="s">
        <v>311</v>
      </c>
      <c r="I10" s="157" t="s">
        <v>308</v>
      </c>
      <c r="J10" s="157" t="s">
        <v>309</v>
      </c>
      <c r="K10" s="346" t="s">
        <v>310</v>
      </c>
      <c r="L10" s="157" t="s">
        <v>11</v>
      </c>
      <c r="M10" s="513"/>
      <c r="N10" s="521"/>
    </row>
    <row r="11" spans="1:33" s="80" customFormat="1" ht="11.25">
      <c r="A11" s="58">
        <v>1</v>
      </c>
      <c r="B11" s="58">
        <v>2</v>
      </c>
      <c r="C11" s="58">
        <v>3</v>
      </c>
      <c r="D11" s="58">
        <v>4</v>
      </c>
      <c r="E11" s="152">
        <v>5</v>
      </c>
      <c r="F11" s="58">
        <v>6</v>
      </c>
      <c r="G11" s="58">
        <v>7</v>
      </c>
      <c r="H11" s="58">
        <v>8</v>
      </c>
      <c r="I11" s="58">
        <v>9</v>
      </c>
      <c r="J11" s="266">
        <v>10</v>
      </c>
      <c r="K11" s="266">
        <v>11</v>
      </c>
      <c r="L11" s="266">
        <v>12</v>
      </c>
      <c r="M11" s="266">
        <v>13</v>
      </c>
      <c r="N11" s="149">
        <v>14</v>
      </c>
    </row>
    <row r="12" spans="1:33" s="3" customFormat="1">
      <c r="A12" s="280" t="s">
        <v>19</v>
      </c>
      <c r="B12" s="282"/>
      <c r="C12" s="275" t="s">
        <v>33</v>
      </c>
      <c r="D12" s="341">
        <f>D13+D14</f>
        <v>125294</v>
      </c>
      <c r="E12" s="341">
        <f t="shared" ref="E12:M12" si="0">E13+E14</f>
        <v>4259</v>
      </c>
      <c r="F12" s="341">
        <f t="shared" si="0"/>
        <v>4259</v>
      </c>
      <c r="G12" s="341">
        <f t="shared" si="0"/>
        <v>0</v>
      </c>
      <c r="H12" s="341">
        <f t="shared" si="0"/>
        <v>4259</v>
      </c>
      <c r="I12" s="341">
        <f t="shared" si="0"/>
        <v>0</v>
      </c>
      <c r="J12" s="341">
        <f t="shared" si="0"/>
        <v>0</v>
      </c>
      <c r="K12" s="341">
        <f t="shared" si="0"/>
        <v>0</v>
      </c>
      <c r="L12" s="341">
        <f t="shared" si="0"/>
        <v>0</v>
      </c>
      <c r="M12" s="341">
        <f t="shared" si="0"/>
        <v>0</v>
      </c>
      <c r="N12" s="427">
        <f>E12/D12*100</f>
        <v>3.399205069676122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>
      <c r="A13" s="460" t="s">
        <v>18</v>
      </c>
      <c r="B13" s="197" t="s">
        <v>54</v>
      </c>
      <c r="C13" s="182" t="s">
        <v>70</v>
      </c>
      <c r="D13" s="342">
        <v>125000</v>
      </c>
      <c r="E13" s="342">
        <v>3965</v>
      </c>
      <c r="F13" s="342">
        <f>E13</f>
        <v>3965</v>
      </c>
      <c r="G13" s="342">
        <v>0</v>
      </c>
      <c r="H13" s="342">
        <f>F13</f>
        <v>3965</v>
      </c>
      <c r="I13" s="342">
        <v>0</v>
      </c>
      <c r="J13" s="342"/>
      <c r="K13" s="342"/>
      <c r="L13" s="342">
        <v>0</v>
      </c>
      <c r="M13" s="342">
        <v>0</v>
      </c>
      <c r="N13" s="427">
        <f t="shared" ref="N13:N76" si="1">E13/D13*100</f>
        <v>3.1719999999999997</v>
      </c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</row>
    <row r="14" spans="1:33">
      <c r="A14" s="462"/>
      <c r="B14" s="197" t="s">
        <v>269</v>
      </c>
      <c r="C14" s="276" t="s">
        <v>80</v>
      </c>
      <c r="D14" s="342">
        <v>294</v>
      </c>
      <c r="E14" s="342">
        <v>294</v>
      </c>
      <c r="F14" s="342">
        <f>E14</f>
        <v>294</v>
      </c>
      <c r="G14" s="342"/>
      <c r="H14" s="342">
        <f>F14</f>
        <v>294</v>
      </c>
      <c r="I14" s="342"/>
      <c r="J14" s="342"/>
      <c r="K14" s="342"/>
      <c r="L14" s="342"/>
      <c r="M14" s="342"/>
      <c r="N14" s="427">
        <f t="shared" si="1"/>
        <v>100</v>
      </c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</row>
    <row r="15" spans="1:33" s="4" customFormat="1">
      <c r="A15" s="280" t="s">
        <v>20</v>
      </c>
      <c r="B15" s="280"/>
      <c r="C15" s="273" t="s">
        <v>34</v>
      </c>
      <c r="D15" s="343">
        <f>D16+D17</f>
        <v>295000</v>
      </c>
      <c r="E15" s="343">
        <f t="shared" ref="E15:M15" si="2">E16+E17</f>
        <v>132232.38</v>
      </c>
      <c r="F15" s="343">
        <f t="shared" si="2"/>
        <v>132232.38</v>
      </c>
      <c r="G15" s="343">
        <f t="shared" si="2"/>
        <v>0</v>
      </c>
      <c r="H15" s="343">
        <f t="shared" si="2"/>
        <v>6776.92</v>
      </c>
      <c r="I15" s="343">
        <f t="shared" si="2"/>
        <v>0</v>
      </c>
      <c r="J15" s="343">
        <f t="shared" si="2"/>
        <v>125455.46</v>
      </c>
      <c r="K15" s="343">
        <f t="shared" si="2"/>
        <v>0</v>
      </c>
      <c r="L15" s="343">
        <f t="shared" si="2"/>
        <v>0</v>
      </c>
      <c r="M15" s="343">
        <f t="shared" si="2"/>
        <v>0</v>
      </c>
      <c r="N15" s="427">
        <f t="shared" si="1"/>
        <v>44.82453559322034</v>
      </c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</row>
    <row r="16" spans="1:33">
      <c r="A16" s="460"/>
      <c r="B16" s="197" t="s">
        <v>72</v>
      </c>
      <c r="C16" s="261" t="s">
        <v>73</v>
      </c>
      <c r="D16" s="342">
        <v>260000</v>
      </c>
      <c r="E16" s="342">
        <v>125455.46</v>
      </c>
      <c r="F16" s="342">
        <f>E16</f>
        <v>125455.46</v>
      </c>
      <c r="G16" s="342">
        <v>0</v>
      </c>
      <c r="H16" s="342"/>
      <c r="I16" s="342">
        <v>0</v>
      </c>
      <c r="J16" s="342">
        <f>F16</f>
        <v>125455.46</v>
      </c>
      <c r="K16" s="342"/>
      <c r="L16" s="342">
        <v>0</v>
      </c>
      <c r="M16" s="342">
        <v>0</v>
      </c>
      <c r="N16" s="427">
        <f t="shared" si="1"/>
        <v>48.252100000000006</v>
      </c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</row>
    <row r="17" spans="1:33">
      <c r="A17" s="461"/>
      <c r="B17" s="197" t="s">
        <v>108</v>
      </c>
      <c r="C17" s="182" t="s">
        <v>109</v>
      </c>
      <c r="D17" s="342">
        <v>35000</v>
      </c>
      <c r="E17" s="342">
        <v>6776.92</v>
      </c>
      <c r="F17" s="342">
        <f>E17</f>
        <v>6776.92</v>
      </c>
      <c r="G17" s="342">
        <v>0</v>
      </c>
      <c r="H17" s="342">
        <f>F17</f>
        <v>6776.92</v>
      </c>
      <c r="I17" s="342">
        <v>0</v>
      </c>
      <c r="J17" s="342"/>
      <c r="K17" s="342"/>
      <c r="L17" s="342">
        <v>0</v>
      </c>
      <c r="M17" s="342">
        <v>0</v>
      </c>
      <c r="N17" s="427">
        <f t="shared" si="1"/>
        <v>19.362628571428573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s="41" customFormat="1">
      <c r="A18" s="279">
        <v>150</v>
      </c>
      <c r="B18" s="280"/>
      <c r="C18" s="181" t="s">
        <v>167</v>
      </c>
      <c r="D18" s="343">
        <f>D19</f>
        <v>1520</v>
      </c>
      <c r="E18" s="343">
        <f>E19</f>
        <v>1519.73</v>
      </c>
      <c r="F18" s="343">
        <f>F19</f>
        <v>1519.73</v>
      </c>
      <c r="G18" s="343">
        <f>G19</f>
        <v>1519.73</v>
      </c>
      <c r="H18" s="343">
        <f>H19</f>
        <v>0</v>
      </c>
      <c r="I18" s="342">
        <v>0</v>
      </c>
      <c r="J18" s="342"/>
      <c r="K18" s="342"/>
      <c r="L18" s="342">
        <v>0</v>
      </c>
      <c r="M18" s="342">
        <v>0</v>
      </c>
      <c r="N18" s="427">
        <f t="shared" si="1"/>
        <v>99.982236842105266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</row>
    <row r="19" spans="1:33">
      <c r="A19" s="265"/>
      <c r="B19" s="197">
        <v>15011</v>
      </c>
      <c r="C19" s="182" t="s">
        <v>168</v>
      </c>
      <c r="D19" s="342">
        <v>1520</v>
      </c>
      <c r="E19" s="342">
        <v>1519.73</v>
      </c>
      <c r="F19" s="342">
        <f>E19</f>
        <v>1519.73</v>
      </c>
      <c r="G19" s="342">
        <f>F19</f>
        <v>1519.73</v>
      </c>
      <c r="H19" s="342">
        <v>0</v>
      </c>
      <c r="I19" s="342">
        <v>0</v>
      </c>
      <c r="J19" s="342"/>
      <c r="K19" s="342"/>
      <c r="L19" s="342">
        <v>0</v>
      </c>
      <c r="M19" s="342">
        <v>0</v>
      </c>
      <c r="N19" s="427">
        <f t="shared" si="1"/>
        <v>99.982236842105266</v>
      </c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</row>
    <row r="20" spans="1:33" s="4" customFormat="1">
      <c r="A20" s="279">
        <v>600</v>
      </c>
      <c r="B20" s="280"/>
      <c r="C20" s="181" t="s">
        <v>75</v>
      </c>
      <c r="D20" s="343">
        <f>D22+D23+D21</f>
        <v>8561405.0899999999</v>
      </c>
      <c r="E20" s="343">
        <f t="shared" ref="E20:M20" si="3">E22+E23+E21</f>
        <v>1649261.71</v>
      </c>
      <c r="F20" s="343">
        <f t="shared" si="3"/>
        <v>1307851.76</v>
      </c>
      <c r="G20" s="343">
        <f t="shared" si="3"/>
        <v>412687.9</v>
      </c>
      <c r="H20" s="343">
        <f t="shared" si="3"/>
        <v>889845.33</v>
      </c>
      <c r="I20" s="343">
        <f t="shared" si="3"/>
        <v>0</v>
      </c>
      <c r="J20" s="343">
        <f t="shared" si="3"/>
        <v>5318.53</v>
      </c>
      <c r="K20" s="343">
        <f t="shared" si="3"/>
        <v>0</v>
      </c>
      <c r="L20" s="343">
        <f t="shared" si="3"/>
        <v>0</v>
      </c>
      <c r="M20" s="343">
        <f t="shared" si="3"/>
        <v>341409.95</v>
      </c>
      <c r="N20" s="427">
        <f t="shared" si="1"/>
        <v>19.263913956441463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</row>
    <row r="21" spans="1:33" s="4" customFormat="1">
      <c r="A21" s="529"/>
      <c r="B21" s="350">
        <v>60002</v>
      </c>
      <c r="C21" s="351" t="s">
        <v>359</v>
      </c>
      <c r="D21" s="345">
        <v>50000</v>
      </c>
      <c r="E21" s="345">
        <v>0</v>
      </c>
      <c r="F21" s="345"/>
      <c r="G21" s="345"/>
      <c r="H21" s="345"/>
      <c r="I21" s="345"/>
      <c r="J21" s="345"/>
      <c r="K21" s="345"/>
      <c r="L21" s="345"/>
      <c r="M21" s="345"/>
      <c r="N21" s="427">
        <f t="shared" si="1"/>
        <v>0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</row>
    <row r="22" spans="1:33">
      <c r="A22" s="530"/>
      <c r="B22" s="197">
        <v>60014</v>
      </c>
      <c r="C22" s="182" t="s">
        <v>45</v>
      </c>
      <c r="D22" s="342">
        <v>8311405.0899999999</v>
      </c>
      <c r="E22" s="342">
        <v>1549261.71</v>
      </c>
      <c r="F22" s="342">
        <f>E22-M22</f>
        <v>1307851.76</v>
      </c>
      <c r="G22" s="342">
        <f>305128.71+46168.93+53351.55+6568.71+1470</f>
        <v>412687.9</v>
      </c>
      <c r="H22" s="342">
        <f>F22-G22-J22</f>
        <v>889845.33</v>
      </c>
      <c r="I22" s="342">
        <v>0</v>
      </c>
      <c r="J22" s="342">
        <f>5318.53</f>
        <v>5318.53</v>
      </c>
      <c r="K22" s="342"/>
      <c r="L22" s="342">
        <v>0</v>
      </c>
      <c r="M22" s="342">
        <f>38773.04+99225.42+103411.49</f>
        <v>241409.95</v>
      </c>
      <c r="N22" s="427">
        <f t="shared" si="1"/>
        <v>18.640190114954439</v>
      </c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1:33">
      <c r="A23" s="531"/>
      <c r="B23" s="197">
        <v>60016</v>
      </c>
      <c r="C23" s="182" t="s">
        <v>270</v>
      </c>
      <c r="D23" s="342">
        <v>200000</v>
      </c>
      <c r="E23" s="342">
        <v>100000</v>
      </c>
      <c r="F23" s="342"/>
      <c r="G23" s="342"/>
      <c r="H23" s="342"/>
      <c r="I23" s="342"/>
      <c r="J23" s="342"/>
      <c r="K23" s="342"/>
      <c r="L23" s="342"/>
      <c r="M23" s="342">
        <v>100000</v>
      </c>
      <c r="N23" s="427">
        <f t="shared" si="1"/>
        <v>50</v>
      </c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</row>
    <row r="24" spans="1:33" s="4" customFormat="1">
      <c r="A24" s="279">
        <v>700</v>
      </c>
      <c r="B24" s="280"/>
      <c r="C24" s="181" t="s">
        <v>35</v>
      </c>
      <c r="D24" s="343">
        <f>D25</f>
        <v>361092.34</v>
      </c>
      <c r="E24" s="343">
        <f t="shared" ref="E24:M24" si="4">E25</f>
        <v>138522.95000000001</v>
      </c>
      <c r="F24" s="343">
        <f t="shared" si="4"/>
        <v>105046.78000000001</v>
      </c>
      <c r="G24" s="343">
        <f t="shared" si="4"/>
        <v>750</v>
      </c>
      <c r="H24" s="343">
        <f t="shared" si="4"/>
        <v>104296.78000000001</v>
      </c>
      <c r="I24" s="343">
        <f t="shared" si="4"/>
        <v>0</v>
      </c>
      <c r="J24" s="343">
        <f t="shared" si="4"/>
        <v>0</v>
      </c>
      <c r="K24" s="343">
        <f t="shared" si="4"/>
        <v>0</v>
      </c>
      <c r="L24" s="343">
        <f t="shared" si="4"/>
        <v>0</v>
      </c>
      <c r="M24" s="343">
        <f t="shared" si="4"/>
        <v>33476.17</v>
      </c>
      <c r="N24" s="427">
        <f t="shared" si="1"/>
        <v>38.362195664410933</v>
      </c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</row>
    <row r="25" spans="1:33">
      <c r="A25" s="314" t="s">
        <v>18</v>
      </c>
      <c r="B25" s="265">
        <v>70005</v>
      </c>
      <c r="C25" s="182" t="s">
        <v>76</v>
      </c>
      <c r="D25" s="342">
        <v>361092.34</v>
      </c>
      <c r="E25" s="342">
        <v>138522.95000000001</v>
      </c>
      <c r="F25" s="342">
        <f>E25-M25</f>
        <v>105046.78000000001</v>
      </c>
      <c r="G25" s="342">
        <v>750</v>
      </c>
      <c r="H25" s="342">
        <f>F25-G25</f>
        <v>104296.78000000001</v>
      </c>
      <c r="I25" s="342">
        <v>0</v>
      </c>
      <c r="J25" s="342"/>
      <c r="K25" s="342"/>
      <c r="L25" s="342">
        <v>0</v>
      </c>
      <c r="M25" s="342">
        <f>19045.83+14430.34</f>
        <v>33476.17</v>
      </c>
      <c r="N25" s="427">
        <f t="shared" si="1"/>
        <v>38.362195664410933</v>
      </c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1:33" s="4" customFormat="1">
      <c r="A26" s="279">
        <v>710</v>
      </c>
      <c r="B26" s="279"/>
      <c r="C26" s="181" t="s">
        <v>110</v>
      </c>
      <c r="D26" s="343">
        <f>D27+D28+D29</f>
        <v>365173</v>
      </c>
      <c r="E26" s="343">
        <f t="shared" ref="E26:M26" si="5">E27+E28+E29</f>
        <v>149685.07999999999</v>
      </c>
      <c r="F26" s="343">
        <f t="shared" si="5"/>
        <v>149685.07999999999</v>
      </c>
      <c r="G26" s="343">
        <f t="shared" si="5"/>
        <v>138827.57999999999</v>
      </c>
      <c r="H26" s="343">
        <f t="shared" si="5"/>
        <v>10857.5</v>
      </c>
      <c r="I26" s="343">
        <f t="shared" si="5"/>
        <v>0</v>
      </c>
      <c r="J26" s="343">
        <f t="shared" si="5"/>
        <v>0</v>
      </c>
      <c r="K26" s="343">
        <f t="shared" si="5"/>
        <v>0</v>
      </c>
      <c r="L26" s="343">
        <f t="shared" si="5"/>
        <v>0</v>
      </c>
      <c r="M26" s="343">
        <f t="shared" si="5"/>
        <v>0</v>
      </c>
      <c r="N26" s="427">
        <f t="shared" si="1"/>
        <v>40.990182735306277</v>
      </c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</row>
    <row r="27" spans="1:33">
      <c r="A27" s="468" t="s">
        <v>18</v>
      </c>
      <c r="B27" s="265">
        <v>71013</v>
      </c>
      <c r="C27" s="182" t="s">
        <v>111</v>
      </c>
      <c r="D27" s="342">
        <v>67000</v>
      </c>
      <c r="E27" s="342">
        <v>0</v>
      </c>
      <c r="F27" s="342"/>
      <c r="G27" s="342"/>
      <c r="H27" s="342"/>
      <c r="I27" s="342"/>
      <c r="J27" s="342"/>
      <c r="K27" s="342"/>
      <c r="L27" s="342">
        <v>0</v>
      </c>
      <c r="M27" s="342">
        <v>0</v>
      </c>
      <c r="N27" s="427">
        <f t="shared" si="1"/>
        <v>0</v>
      </c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</row>
    <row r="28" spans="1:33" ht="12.75" customHeight="1">
      <c r="A28" s="468"/>
      <c r="B28" s="265">
        <v>71014</v>
      </c>
      <c r="C28" s="261" t="s">
        <v>78</v>
      </c>
      <c r="D28" s="342">
        <v>17000</v>
      </c>
      <c r="E28" s="342">
        <v>0</v>
      </c>
      <c r="F28" s="342"/>
      <c r="G28" s="342"/>
      <c r="H28" s="342"/>
      <c r="I28" s="342"/>
      <c r="J28" s="342"/>
      <c r="K28" s="342"/>
      <c r="L28" s="342">
        <v>0</v>
      </c>
      <c r="M28" s="342">
        <v>0</v>
      </c>
      <c r="N28" s="427">
        <f t="shared" si="1"/>
        <v>0</v>
      </c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</row>
    <row r="29" spans="1:33" ht="15" customHeight="1">
      <c r="A29" s="468"/>
      <c r="B29" s="265">
        <v>71015</v>
      </c>
      <c r="C29" s="261" t="s">
        <v>79</v>
      </c>
      <c r="D29" s="342">
        <v>281173</v>
      </c>
      <c r="E29" s="342">
        <v>149685.07999999999</v>
      </c>
      <c r="F29" s="342">
        <f>E29</f>
        <v>149685.07999999999</v>
      </c>
      <c r="G29" s="342">
        <f>33261.6+70590+15451.46+17254.16+2270.36</f>
        <v>138827.57999999999</v>
      </c>
      <c r="H29" s="342">
        <f>F29-G29</f>
        <v>10857.5</v>
      </c>
      <c r="I29" s="342"/>
      <c r="J29" s="342"/>
      <c r="K29" s="342"/>
      <c r="L29" s="342">
        <v>0</v>
      </c>
      <c r="M29" s="342"/>
      <c r="N29" s="427">
        <f t="shared" si="1"/>
        <v>53.235936594196453</v>
      </c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</row>
    <row r="30" spans="1:33" s="4" customFormat="1">
      <c r="A30" s="279">
        <v>750</v>
      </c>
      <c r="B30" s="279"/>
      <c r="C30" s="273" t="s">
        <v>37</v>
      </c>
      <c r="D30" s="343">
        <f>D31+D34+D32+D33+D36+D35</f>
        <v>9005901.25</v>
      </c>
      <c r="E30" s="343">
        <f t="shared" ref="E30:M30" si="6">E31+E34+E32+E33+E36+E35</f>
        <v>3454726.98</v>
      </c>
      <c r="F30" s="343">
        <f t="shared" si="6"/>
        <v>2767674.8000000003</v>
      </c>
      <c r="G30" s="343">
        <f t="shared" si="6"/>
        <v>1678889.1</v>
      </c>
      <c r="H30" s="343">
        <f t="shared" si="6"/>
        <v>987971.82000000041</v>
      </c>
      <c r="I30" s="343">
        <f t="shared" si="6"/>
        <v>0</v>
      </c>
      <c r="J30" s="343">
        <f t="shared" si="6"/>
        <v>100813.88</v>
      </c>
      <c r="K30" s="343">
        <f t="shared" si="6"/>
        <v>0</v>
      </c>
      <c r="L30" s="343">
        <f t="shared" si="6"/>
        <v>0</v>
      </c>
      <c r="M30" s="343">
        <f t="shared" si="6"/>
        <v>687052.17999999993</v>
      </c>
      <c r="N30" s="427">
        <f t="shared" si="1"/>
        <v>38.360702433862464</v>
      </c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</row>
    <row r="31" spans="1:33">
      <c r="A31" s="468" t="s">
        <v>18</v>
      </c>
      <c r="B31" s="265">
        <v>75011</v>
      </c>
      <c r="C31" s="261" t="s">
        <v>82</v>
      </c>
      <c r="D31" s="342">
        <v>114200</v>
      </c>
      <c r="E31" s="342">
        <v>58802.98</v>
      </c>
      <c r="F31" s="342">
        <f>E31</f>
        <v>58802.98</v>
      </c>
      <c r="G31" s="342">
        <f>F31</f>
        <v>58802.98</v>
      </c>
      <c r="H31" s="342">
        <v>0</v>
      </c>
      <c r="I31" s="342">
        <v>0</v>
      </c>
      <c r="J31" s="342"/>
      <c r="K31" s="342"/>
      <c r="L31" s="342">
        <v>0</v>
      </c>
      <c r="M31" s="342">
        <v>0</v>
      </c>
      <c r="N31" s="427">
        <f t="shared" si="1"/>
        <v>51.491225919439586</v>
      </c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</row>
    <row r="32" spans="1:33">
      <c r="A32" s="468"/>
      <c r="B32" s="265">
        <v>75019</v>
      </c>
      <c r="C32" s="261" t="s">
        <v>112</v>
      </c>
      <c r="D32" s="342">
        <v>214660</v>
      </c>
      <c r="E32" s="342">
        <v>102007.94</v>
      </c>
      <c r="F32" s="342">
        <f>E32</f>
        <v>102007.94</v>
      </c>
      <c r="G32" s="342"/>
      <c r="H32" s="342">
        <f>F32-J32</f>
        <v>6217.1600000000035</v>
      </c>
      <c r="I32" s="342">
        <v>0</v>
      </c>
      <c r="J32" s="342">
        <v>95790.78</v>
      </c>
      <c r="K32" s="342"/>
      <c r="L32" s="342">
        <v>0</v>
      </c>
      <c r="M32" s="342">
        <v>0</v>
      </c>
      <c r="N32" s="427">
        <f t="shared" si="1"/>
        <v>47.520702506289012</v>
      </c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</row>
    <row r="33" spans="1:33">
      <c r="A33" s="468"/>
      <c r="B33" s="348">
        <v>75020</v>
      </c>
      <c r="C33" s="349" t="s">
        <v>83</v>
      </c>
      <c r="D33" s="342">
        <v>8099561.25</v>
      </c>
      <c r="E33" s="342">
        <v>2963288.58</v>
      </c>
      <c r="F33" s="342">
        <f>E33-M33</f>
        <v>2276236.4000000004</v>
      </c>
      <c r="G33" s="344">
        <f>1186735.7+198013.98+177004.8+25414.68+11402.12</f>
        <v>1598571.28</v>
      </c>
      <c r="H33" s="342">
        <f>F33-G33-J33</f>
        <v>674642.02000000037</v>
      </c>
      <c r="I33" s="342">
        <v>0</v>
      </c>
      <c r="J33" s="342">
        <v>3023.1</v>
      </c>
      <c r="K33" s="342"/>
      <c r="L33" s="342">
        <v>0</v>
      </c>
      <c r="M33" s="342">
        <f>654792.07+32260.11</f>
        <v>687052.17999999993</v>
      </c>
      <c r="N33" s="427">
        <f t="shared" si="1"/>
        <v>36.585791359994964</v>
      </c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</row>
    <row r="34" spans="1:33">
      <c r="A34" s="468"/>
      <c r="B34" s="265">
        <v>75045</v>
      </c>
      <c r="C34" s="261" t="s">
        <v>409</v>
      </c>
      <c r="D34" s="342">
        <v>20000</v>
      </c>
      <c r="E34" s="342">
        <v>18995.73</v>
      </c>
      <c r="F34" s="342">
        <f>E34</f>
        <v>18995.73</v>
      </c>
      <c r="G34" s="344">
        <f>401.66+65.18+12020</f>
        <v>12486.84</v>
      </c>
      <c r="H34" s="342">
        <f>F34-G34-J34</f>
        <v>4508.8899999999994</v>
      </c>
      <c r="I34" s="342">
        <v>0</v>
      </c>
      <c r="J34" s="342">
        <v>2000</v>
      </c>
      <c r="K34" s="342"/>
      <c r="L34" s="342">
        <v>0</v>
      </c>
      <c r="M34" s="342">
        <v>0</v>
      </c>
      <c r="N34" s="427">
        <f t="shared" si="1"/>
        <v>94.978650000000002</v>
      </c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</row>
    <row r="35" spans="1:33" ht="25.5" customHeight="1">
      <c r="A35" s="468"/>
      <c r="B35" s="265">
        <v>75075</v>
      </c>
      <c r="C35" s="261" t="s">
        <v>150</v>
      </c>
      <c r="D35" s="342">
        <v>222446</v>
      </c>
      <c r="E35" s="342">
        <v>131918.85</v>
      </c>
      <c r="F35" s="342">
        <f>E35</f>
        <v>131918.85</v>
      </c>
      <c r="G35" s="342">
        <v>9028</v>
      </c>
      <c r="H35" s="342">
        <f>F35-G35</f>
        <v>122890.85</v>
      </c>
      <c r="I35" s="342">
        <v>0</v>
      </c>
      <c r="J35" s="342"/>
      <c r="K35" s="342"/>
      <c r="L35" s="342">
        <v>0</v>
      </c>
      <c r="M35" s="342"/>
      <c r="N35" s="427">
        <f t="shared" si="1"/>
        <v>59.30376361004469</v>
      </c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</row>
    <row r="36" spans="1:33">
      <c r="A36" s="468"/>
      <c r="B36" s="265">
        <v>75095</v>
      </c>
      <c r="C36" s="261" t="s">
        <v>80</v>
      </c>
      <c r="D36" s="342">
        <v>335034</v>
      </c>
      <c r="E36" s="342">
        <v>179712.9</v>
      </c>
      <c r="F36" s="342">
        <f>E36</f>
        <v>179712.9</v>
      </c>
      <c r="G36" s="342"/>
      <c r="H36" s="342">
        <f>F36</f>
        <v>179712.9</v>
      </c>
      <c r="I36" s="342"/>
      <c r="J36" s="342"/>
      <c r="K36" s="342"/>
      <c r="L36" s="342"/>
      <c r="M36" s="342">
        <v>0</v>
      </c>
      <c r="N36" s="427">
        <f t="shared" si="1"/>
        <v>53.640197711277061</v>
      </c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</row>
    <row r="37" spans="1:33" s="4" customFormat="1" ht="24" customHeight="1">
      <c r="A37" s="279">
        <v>754</v>
      </c>
      <c r="B37" s="279"/>
      <c r="C37" s="273" t="s">
        <v>38</v>
      </c>
      <c r="D37" s="343">
        <f>D39+D40+D41+D38</f>
        <v>4073112</v>
      </c>
      <c r="E37" s="343">
        <f t="shared" ref="E37:M37" si="7">E39+E40+E41+E38</f>
        <v>1519163.5199999998</v>
      </c>
      <c r="F37" s="343">
        <f t="shared" si="7"/>
        <v>1506875.68</v>
      </c>
      <c r="G37" s="343">
        <f t="shared" si="7"/>
        <v>1217319.75</v>
      </c>
      <c r="H37" s="343">
        <f t="shared" si="7"/>
        <v>226727.26999999987</v>
      </c>
      <c r="I37" s="343">
        <f t="shared" si="7"/>
        <v>4000</v>
      </c>
      <c r="J37" s="343">
        <f t="shared" si="7"/>
        <v>58828.66</v>
      </c>
      <c r="K37" s="343">
        <f t="shared" si="7"/>
        <v>0</v>
      </c>
      <c r="L37" s="343">
        <f t="shared" si="7"/>
        <v>0</v>
      </c>
      <c r="M37" s="343">
        <f t="shared" si="7"/>
        <v>12287.84</v>
      </c>
      <c r="N37" s="427">
        <f t="shared" si="1"/>
        <v>37.29736673089274</v>
      </c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</row>
    <row r="38" spans="1:33" s="4" customFormat="1">
      <c r="A38" s="528"/>
      <c r="B38" s="281">
        <v>75406</v>
      </c>
      <c r="C38" s="274" t="s">
        <v>271</v>
      </c>
      <c r="D38" s="345">
        <v>4000</v>
      </c>
      <c r="E38" s="345">
        <v>4000</v>
      </c>
      <c r="F38" s="345">
        <f>E38</f>
        <v>4000</v>
      </c>
      <c r="G38" s="342"/>
      <c r="H38" s="342"/>
      <c r="I38" s="345">
        <v>4000</v>
      </c>
      <c r="J38" s="345"/>
      <c r="K38" s="345"/>
      <c r="L38" s="342"/>
      <c r="M38" s="345"/>
      <c r="N38" s="427">
        <f t="shared" si="1"/>
        <v>100</v>
      </c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</row>
    <row r="39" spans="1:33" ht="22.5">
      <c r="A39" s="528"/>
      <c r="B39" s="265">
        <v>75411</v>
      </c>
      <c r="C39" s="261" t="s">
        <v>115</v>
      </c>
      <c r="D39" s="342">
        <v>3907112</v>
      </c>
      <c r="E39" s="342">
        <v>1502734.88</v>
      </c>
      <c r="F39" s="342">
        <f>E39</f>
        <v>1502734.88</v>
      </c>
      <c r="G39" s="342">
        <f>31410.86+4964.47+955329.87+65392.1+153536.68+5794.6+891.17</f>
        <v>1217319.75</v>
      </c>
      <c r="H39" s="342">
        <f>F39-G39-J39</f>
        <v>226586.46999999988</v>
      </c>
      <c r="I39" s="342"/>
      <c r="J39" s="342">
        <v>58828.66</v>
      </c>
      <c r="K39" s="342"/>
      <c r="L39" s="342">
        <v>0</v>
      </c>
      <c r="M39" s="342">
        <v>0</v>
      </c>
      <c r="N39" s="427">
        <f t="shared" si="1"/>
        <v>38.461525546234661</v>
      </c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</row>
    <row r="40" spans="1:33">
      <c r="A40" s="528"/>
      <c r="B40" s="265">
        <v>75412</v>
      </c>
      <c r="C40" s="261" t="s">
        <v>207</v>
      </c>
      <c r="D40" s="342">
        <v>35000</v>
      </c>
      <c r="E40" s="342">
        <v>0</v>
      </c>
      <c r="F40" s="342"/>
      <c r="G40" s="342"/>
      <c r="H40" s="342"/>
      <c r="I40" s="342"/>
      <c r="J40" s="342"/>
      <c r="K40" s="342"/>
      <c r="L40" s="342">
        <v>0</v>
      </c>
      <c r="M40" s="342">
        <v>0</v>
      </c>
      <c r="N40" s="427">
        <f t="shared" si="1"/>
        <v>0</v>
      </c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</row>
    <row r="41" spans="1:33">
      <c r="A41" s="528"/>
      <c r="B41" s="265">
        <v>75421</v>
      </c>
      <c r="C41" s="261" t="s">
        <v>199</v>
      </c>
      <c r="D41" s="342">
        <v>127000</v>
      </c>
      <c r="E41" s="342">
        <v>12428.64</v>
      </c>
      <c r="F41" s="342">
        <f>E41-M41</f>
        <v>140.79999999999927</v>
      </c>
      <c r="G41" s="342"/>
      <c r="H41" s="342">
        <f>F41</f>
        <v>140.79999999999927</v>
      </c>
      <c r="I41" s="342"/>
      <c r="J41" s="342"/>
      <c r="K41" s="342"/>
      <c r="L41" s="342">
        <v>0</v>
      </c>
      <c r="M41" s="342">
        <f>8287.84+4000</f>
        <v>12287.84</v>
      </c>
      <c r="N41" s="427">
        <f t="shared" si="1"/>
        <v>9.7863307086614171</v>
      </c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</row>
    <row r="42" spans="1:33" s="4" customFormat="1">
      <c r="A42" s="279">
        <v>757</v>
      </c>
      <c r="B42" s="279"/>
      <c r="C42" s="273" t="s">
        <v>116</v>
      </c>
      <c r="D42" s="343">
        <f>D43</f>
        <v>572174</v>
      </c>
      <c r="E42" s="343">
        <f>E43</f>
        <v>182285.9</v>
      </c>
      <c r="F42" s="343">
        <f>F43</f>
        <v>182285.9</v>
      </c>
      <c r="G42" s="342">
        <v>0</v>
      </c>
      <c r="H42" s="342">
        <v>0</v>
      </c>
      <c r="I42" s="342">
        <v>0</v>
      </c>
      <c r="J42" s="342"/>
      <c r="K42" s="342"/>
      <c r="L42" s="343">
        <f>L43</f>
        <v>182285.9</v>
      </c>
      <c r="M42" s="342">
        <v>0</v>
      </c>
      <c r="N42" s="427">
        <f t="shared" si="1"/>
        <v>31.858473121812597</v>
      </c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</row>
    <row r="43" spans="1:33" ht="23.25" customHeight="1">
      <c r="A43" s="265"/>
      <c r="B43" s="265">
        <v>75702</v>
      </c>
      <c r="C43" s="261" t="s">
        <v>157</v>
      </c>
      <c r="D43" s="342">
        <v>572174</v>
      </c>
      <c r="E43" s="342">
        <v>182285.9</v>
      </c>
      <c r="F43" s="342">
        <f>E43</f>
        <v>182285.9</v>
      </c>
      <c r="G43" s="342">
        <v>0</v>
      </c>
      <c r="H43" s="342">
        <v>0</v>
      </c>
      <c r="I43" s="342">
        <v>0</v>
      </c>
      <c r="J43" s="342"/>
      <c r="K43" s="342"/>
      <c r="L43" s="342">
        <f>E43</f>
        <v>182285.9</v>
      </c>
      <c r="M43" s="342">
        <v>0</v>
      </c>
      <c r="N43" s="427">
        <f t="shared" si="1"/>
        <v>31.858473121812597</v>
      </c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</row>
    <row r="44" spans="1:33" s="4" customFormat="1">
      <c r="A44" s="279">
        <v>801</v>
      </c>
      <c r="B44" s="279"/>
      <c r="C44" s="273" t="s">
        <v>60</v>
      </c>
      <c r="D44" s="343">
        <f>SUM(D45:D54)</f>
        <v>18938776.57</v>
      </c>
      <c r="E44" s="343">
        <f t="shared" ref="E44:M44" si="8">SUM(E45:E54)</f>
        <v>7938160.8300000001</v>
      </c>
      <c r="F44" s="343">
        <f t="shared" si="8"/>
        <v>6931522.0800000001</v>
      </c>
      <c r="G44" s="343">
        <f t="shared" si="8"/>
        <v>4733146.45</v>
      </c>
      <c r="H44" s="343">
        <f t="shared" si="8"/>
        <v>1387188.6900000002</v>
      </c>
      <c r="I44" s="343">
        <f t="shared" si="8"/>
        <v>728403.90999999992</v>
      </c>
      <c r="J44" s="343">
        <f t="shared" si="8"/>
        <v>82783.03</v>
      </c>
      <c r="K44" s="343">
        <f t="shared" si="8"/>
        <v>0</v>
      </c>
      <c r="L44" s="343">
        <f t="shared" si="8"/>
        <v>0</v>
      </c>
      <c r="M44" s="343">
        <f t="shared" si="8"/>
        <v>1006638.75</v>
      </c>
      <c r="N44" s="427">
        <f t="shared" si="1"/>
        <v>41.914855485303399</v>
      </c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</row>
    <row r="45" spans="1:33">
      <c r="A45" s="460"/>
      <c r="B45" s="265">
        <v>80102</v>
      </c>
      <c r="C45" s="261" t="s">
        <v>47</v>
      </c>
      <c r="D45" s="342">
        <v>1047094</v>
      </c>
      <c r="E45" s="342">
        <v>567006.82999999996</v>
      </c>
      <c r="F45" s="342">
        <f>E45</f>
        <v>567006.82999999996</v>
      </c>
      <c r="G45" s="344">
        <f>333423.16+52123+44051.34+8758.45+108.78</f>
        <v>438464.73000000004</v>
      </c>
      <c r="H45" s="342">
        <f>F45-G45-J45</f>
        <v>127156.34999999992</v>
      </c>
      <c r="I45" s="342"/>
      <c r="J45" s="342">
        <v>1385.75</v>
      </c>
      <c r="K45" s="342"/>
      <c r="L45" s="342">
        <v>0</v>
      </c>
      <c r="M45" s="342">
        <v>0</v>
      </c>
      <c r="N45" s="427">
        <f t="shared" si="1"/>
        <v>54.150518482581312</v>
      </c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</row>
    <row r="46" spans="1:33">
      <c r="A46" s="461"/>
      <c r="B46" s="265">
        <v>80111</v>
      </c>
      <c r="C46" s="261" t="s">
        <v>118</v>
      </c>
      <c r="D46" s="342">
        <v>2756413.72</v>
      </c>
      <c r="E46" s="342">
        <f>741059.18+198.11</f>
        <v>741257.29</v>
      </c>
      <c r="F46" s="342">
        <f>E46-M46</f>
        <v>568538.98</v>
      </c>
      <c r="G46" s="344">
        <f>381688.55+55024.45+62743.78+9543.6</f>
        <v>509000.38</v>
      </c>
      <c r="H46" s="342">
        <f>F46-G46-J46</f>
        <v>44008.999999999978</v>
      </c>
      <c r="I46" s="342"/>
      <c r="J46" s="342">
        <v>15529.6</v>
      </c>
      <c r="K46" s="342"/>
      <c r="L46" s="342">
        <v>0</v>
      </c>
      <c r="M46" s="342">
        <f>18300+77110.1+77110.1+198.11</f>
        <v>172718.31</v>
      </c>
      <c r="N46" s="427">
        <f t="shared" si="1"/>
        <v>26.89209114805886</v>
      </c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</row>
    <row r="47" spans="1:33">
      <c r="A47" s="461"/>
      <c r="B47" s="265">
        <v>80120</v>
      </c>
      <c r="C47" s="261" t="s">
        <v>53</v>
      </c>
      <c r="D47" s="342">
        <v>5618270.1200000001</v>
      </c>
      <c r="E47" s="342">
        <f>2635426.98+198.11</f>
        <v>2635625.09</v>
      </c>
      <c r="F47" s="342">
        <f>E47-M47</f>
        <v>2488057.63</v>
      </c>
      <c r="G47" s="342">
        <f>1213740.6+198932.21+209007.51+30715.26+15876.88</f>
        <v>1668272.46</v>
      </c>
      <c r="H47" s="342">
        <f>F47-G47-I47-J47</f>
        <v>494099.2699999999</v>
      </c>
      <c r="I47" s="342">
        <v>284565.63</v>
      </c>
      <c r="J47" s="342">
        <v>41120.269999999997</v>
      </c>
      <c r="K47" s="342"/>
      <c r="L47" s="342">
        <v>0</v>
      </c>
      <c r="M47" s="342">
        <f>73684.68+73684.67+198.11</f>
        <v>147567.45999999996</v>
      </c>
      <c r="N47" s="427">
        <f t="shared" si="1"/>
        <v>46.911683377729794</v>
      </c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</row>
    <row r="48" spans="1:33">
      <c r="A48" s="461"/>
      <c r="B48" s="265">
        <v>80123</v>
      </c>
      <c r="C48" s="261" t="s">
        <v>48</v>
      </c>
      <c r="D48" s="344">
        <v>360424</v>
      </c>
      <c r="E48" s="344">
        <v>166665.68</v>
      </c>
      <c r="F48" s="344">
        <f>E48</f>
        <v>166665.68</v>
      </c>
      <c r="G48" s="344">
        <f>F48-I48</f>
        <v>6423.1399999999849</v>
      </c>
      <c r="H48" s="342"/>
      <c r="I48" s="342">
        <v>160242.54</v>
      </c>
      <c r="J48" s="342"/>
      <c r="K48" s="342"/>
      <c r="L48" s="342">
        <v>0</v>
      </c>
      <c r="M48" s="342">
        <v>0</v>
      </c>
      <c r="N48" s="427">
        <f t="shared" si="1"/>
        <v>46.241559940514506</v>
      </c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</row>
    <row r="49" spans="1:33">
      <c r="A49" s="461"/>
      <c r="B49" s="265">
        <v>80130</v>
      </c>
      <c r="C49" s="261" t="s">
        <v>49</v>
      </c>
      <c r="D49" s="344">
        <v>8074653.7300000004</v>
      </c>
      <c r="E49" s="344">
        <f>3425430.23+396.22</f>
        <v>3425826.45</v>
      </c>
      <c r="F49" s="344">
        <f>E49-M49</f>
        <v>2739473.47</v>
      </c>
      <c r="G49" s="344">
        <f>1493819.72+221194.74+257159.25+38297.97+6995.02</f>
        <v>2017466.7</v>
      </c>
      <c r="H49" s="342">
        <f>F49-G49-I49-J49</f>
        <v>541164.06000000017</v>
      </c>
      <c r="I49" s="342">
        <v>156295.29999999999</v>
      </c>
      <c r="J49" s="342">
        <f>19903.41+1548+3096</f>
        <v>24547.41</v>
      </c>
      <c r="K49" s="342"/>
      <c r="L49" s="342">
        <v>0</v>
      </c>
      <c r="M49" s="342">
        <f>43344.82+321891.57+320720.37+396.22</f>
        <v>686352.98</v>
      </c>
      <c r="N49" s="427">
        <f t="shared" si="1"/>
        <v>42.426914695696802</v>
      </c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</row>
    <row r="50" spans="1:33" ht="22.5">
      <c r="A50" s="461"/>
      <c r="B50" s="265">
        <v>80140</v>
      </c>
      <c r="C50" s="261" t="s">
        <v>208</v>
      </c>
      <c r="D50" s="344">
        <v>192466</v>
      </c>
      <c r="E50" s="344">
        <v>119963.96</v>
      </c>
      <c r="F50" s="344">
        <f>E50</f>
        <v>119963.96</v>
      </c>
      <c r="G50" s="344">
        <f>16916.46+2509.91+6102.17+984.85+19240</f>
        <v>45753.39</v>
      </c>
      <c r="H50" s="342">
        <f>F50-G50-J50</f>
        <v>74010.570000000007</v>
      </c>
      <c r="I50" s="342"/>
      <c r="J50" s="342">
        <v>200</v>
      </c>
      <c r="K50" s="342"/>
      <c r="L50" s="342">
        <v>0</v>
      </c>
      <c r="M50" s="342">
        <v>0</v>
      </c>
      <c r="N50" s="427">
        <f t="shared" si="1"/>
        <v>62.329949185830223</v>
      </c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</row>
    <row r="51" spans="1:33" ht="22.5">
      <c r="A51" s="461"/>
      <c r="B51" s="265">
        <v>80144</v>
      </c>
      <c r="C51" s="261" t="s">
        <v>272</v>
      </c>
      <c r="D51" s="344">
        <v>255000</v>
      </c>
      <c r="E51" s="344">
        <v>127300.44</v>
      </c>
      <c r="F51" s="344">
        <f>E51</f>
        <v>127300.44</v>
      </c>
      <c r="G51" s="344"/>
      <c r="H51" s="342"/>
      <c r="I51" s="342">
        <v>127300.44</v>
      </c>
      <c r="J51" s="342"/>
      <c r="K51" s="342"/>
      <c r="L51" s="342"/>
      <c r="M51" s="342"/>
      <c r="N51" s="427">
        <f t="shared" si="1"/>
        <v>49.92174117647059</v>
      </c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</row>
    <row r="52" spans="1:33" ht="12.75" customHeight="1">
      <c r="A52" s="461"/>
      <c r="B52" s="265">
        <v>80146</v>
      </c>
      <c r="C52" s="261" t="s">
        <v>91</v>
      </c>
      <c r="D52" s="342">
        <v>58334</v>
      </c>
      <c r="E52" s="342">
        <v>13374.34</v>
      </c>
      <c r="F52" s="342">
        <f>E52</f>
        <v>13374.34</v>
      </c>
      <c r="G52" s="342"/>
      <c r="H52" s="342">
        <f>F52</f>
        <v>13374.34</v>
      </c>
      <c r="I52" s="342"/>
      <c r="J52" s="342"/>
      <c r="K52" s="342"/>
      <c r="L52" s="342">
        <v>0</v>
      </c>
      <c r="M52" s="342">
        <v>0</v>
      </c>
      <c r="N52" s="427">
        <f t="shared" si="1"/>
        <v>22.927177975108854</v>
      </c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</row>
    <row r="53" spans="1:33" ht="12.75" customHeight="1">
      <c r="A53" s="461"/>
      <c r="B53" s="265">
        <v>80148</v>
      </c>
      <c r="C53" s="261" t="s">
        <v>209</v>
      </c>
      <c r="D53" s="342">
        <v>198106</v>
      </c>
      <c r="E53" s="342">
        <v>141140.75</v>
      </c>
      <c r="F53" s="342">
        <f>E53</f>
        <v>141140.75</v>
      </c>
      <c r="G53" s="342">
        <f>36175.84+4158+6482.27+949.54</f>
        <v>47765.65</v>
      </c>
      <c r="H53" s="342">
        <f>F53-G53</f>
        <v>93375.1</v>
      </c>
      <c r="I53" s="342"/>
      <c r="J53" s="342"/>
      <c r="K53" s="342"/>
      <c r="L53" s="342">
        <v>0</v>
      </c>
      <c r="M53" s="342">
        <v>0</v>
      </c>
      <c r="N53" s="427">
        <f t="shared" si="1"/>
        <v>71.245065772869069</v>
      </c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</row>
    <row r="54" spans="1:33" ht="12.75" customHeight="1">
      <c r="A54" s="462"/>
      <c r="B54" s="265">
        <v>80195</v>
      </c>
      <c r="C54" s="261" t="s">
        <v>80</v>
      </c>
      <c r="D54" s="342">
        <v>378015</v>
      </c>
      <c r="E54" s="342"/>
      <c r="F54" s="342"/>
      <c r="G54" s="342"/>
      <c r="H54" s="342"/>
      <c r="I54" s="342"/>
      <c r="J54" s="342"/>
      <c r="K54" s="342"/>
      <c r="L54" s="342"/>
      <c r="M54" s="342"/>
      <c r="N54" s="427">
        <f t="shared" si="1"/>
        <v>0</v>
      </c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</row>
    <row r="55" spans="1:33" s="4" customFormat="1" ht="13.5" customHeight="1">
      <c r="A55" s="279">
        <v>851</v>
      </c>
      <c r="B55" s="279"/>
      <c r="C55" s="275" t="s">
        <v>40</v>
      </c>
      <c r="D55" s="343">
        <f>D56+D57+D58</f>
        <v>6254174.9000000004</v>
      </c>
      <c r="E55" s="343">
        <f t="shared" ref="E55:M55" si="9">E56+E57+E58</f>
        <v>1195084.1400000001</v>
      </c>
      <c r="F55" s="343">
        <f t="shared" si="9"/>
        <v>1166656.02</v>
      </c>
      <c r="G55" s="343">
        <f t="shared" si="9"/>
        <v>0</v>
      </c>
      <c r="H55" s="343">
        <f t="shared" si="9"/>
        <v>1141656.02</v>
      </c>
      <c r="I55" s="343">
        <f t="shared" si="9"/>
        <v>25000</v>
      </c>
      <c r="J55" s="343">
        <f t="shared" si="9"/>
        <v>0</v>
      </c>
      <c r="K55" s="343">
        <f t="shared" si="9"/>
        <v>0</v>
      </c>
      <c r="L55" s="343">
        <f t="shared" si="9"/>
        <v>0</v>
      </c>
      <c r="M55" s="343">
        <f t="shared" si="9"/>
        <v>28428.12</v>
      </c>
      <c r="N55" s="427">
        <f t="shared" si="1"/>
        <v>19.10858201295266</v>
      </c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</row>
    <row r="56" spans="1:33" s="4" customFormat="1" ht="13.5" customHeight="1">
      <c r="A56" s="529"/>
      <c r="B56" s="281">
        <v>85111</v>
      </c>
      <c r="C56" s="277" t="s">
        <v>92</v>
      </c>
      <c r="D56" s="345">
        <v>3443380.9</v>
      </c>
      <c r="E56" s="345">
        <v>62675.12</v>
      </c>
      <c r="F56" s="342">
        <f>E56-M56</f>
        <v>34247</v>
      </c>
      <c r="G56" s="342">
        <v>0</v>
      </c>
      <c r="H56" s="342">
        <f>F56-I56</f>
        <v>9247</v>
      </c>
      <c r="I56" s="342">
        <v>25000</v>
      </c>
      <c r="J56" s="342"/>
      <c r="K56" s="342"/>
      <c r="L56" s="342">
        <v>0</v>
      </c>
      <c r="M56" s="345">
        <v>28428.12</v>
      </c>
      <c r="N56" s="427">
        <f t="shared" si="1"/>
        <v>1.8201622713304821</v>
      </c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</row>
    <row r="57" spans="1:33">
      <c r="A57" s="530"/>
      <c r="B57" s="265">
        <v>85156</v>
      </c>
      <c r="C57" s="278" t="s">
        <v>94</v>
      </c>
      <c r="D57" s="342">
        <v>2810000</v>
      </c>
      <c r="E57" s="342">
        <v>1132409.02</v>
      </c>
      <c r="F57" s="342">
        <f>E57</f>
        <v>1132409.02</v>
      </c>
      <c r="G57" s="342">
        <v>0</v>
      </c>
      <c r="H57" s="342">
        <f>F57</f>
        <v>1132409.02</v>
      </c>
      <c r="I57" s="342">
        <v>0</v>
      </c>
      <c r="J57" s="342"/>
      <c r="K57" s="342"/>
      <c r="L57" s="342">
        <v>0</v>
      </c>
      <c r="M57" s="342">
        <v>0</v>
      </c>
      <c r="N57" s="427">
        <f t="shared" si="1"/>
        <v>40.299253380782915</v>
      </c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</row>
    <row r="58" spans="1:33">
      <c r="A58" s="531"/>
      <c r="B58" s="330">
        <v>85195</v>
      </c>
      <c r="C58" s="276" t="s">
        <v>80</v>
      </c>
      <c r="D58" s="342">
        <v>794</v>
      </c>
      <c r="E58" s="342"/>
      <c r="F58" s="342"/>
      <c r="G58" s="342"/>
      <c r="H58" s="342"/>
      <c r="I58" s="342"/>
      <c r="J58" s="342"/>
      <c r="K58" s="342"/>
      <c r="L58" s="342"/>
      <c r="M58" s="342"/>
      <c r="N58" s="427">
        <f t="shared" si="1"/>
        <v>0</v>
      </c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</row>
    <row r="59" spans="1:33" s="4" customFormat="1">
      <c r="A59" s="279">
        <v>852</v>
      </c>
      <c r="B59" s="279"/>
      <c r="C59" s="273" t="s">
        <v>41</v>
      </c>
      <c r="D59" s="343">
        <f>SUM(D60:D68)</f>
        <v>9336288.3599999994</v>
      </c>
      <c r="E59" s="343">
        <f t="shared" ref="E59:M59" si="10">SUM(E60:E68)</f>
        <v>4055050.2599999993</v>
      </c>
      <c r="F59" s="343">
        <f t="shared" si="10"/>
        <v>4054949.2899999991</v>
      </c>
      <c r="G59" s="343">
        <f t="shared" si="10"/>
        <v>1235638.97</v>
      </c>
      <c r="H59" s="343">
        <f t="shared" si="10"/>
        <v>464122.25999999995</v>
      </c>
      <c r="I59" s="343">
        <f t="shared" si="10"/>
        <v>1638900.99</v>
      </c>
      <c r="J59" s="343">
        <f t="shared" si="10"/>
        <v>716287.07000000007</v>
      </c>
      <c r="K59" s="343">
        <f t="shared" si="10"/>
        <v>0</v>
      </c>
      <c r="L59" s="343">
        <f t="shared" si="10"/>
        <v>0</v>
      </c>
      <c r="M59" s="343">
        <f t="shared" si="10"/>
        <v>100.97</v>
      </c>
      <c r="N59" s="427">
        <f t="shared" si="1"/>
        <v>43.433215681011802</v>
      </c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</row>
    <row r="60" spans="1:33" s="5" customFormat="1" ht="12.75" customHeight="1">
      <c r="A60" s="460"/>
      <c r="B60" s="265">
        <v>85201</v>
      </c>
      <c r="C60" s="261" t="s">
        <v>95</v>
      </c>
      <c r="D60" s="342">
        <v>4323967.46</v>
      </c>
      <c r="E60" s="342">
        <v>1701679.14</v>
      </c>
      <c r="F60" s="342">
        <f>E60</f>
        <v>1701679.14</v>
      </c>
      <c r="G60" s="342">
        <f>487841.72+69425.87+83180.53+12260.47+12317.84</f>
        <v>665026.42999999993</v>
      </c>
      <c r="H60" s="342">
        <f>F60-G60-I60-J60</f>
        <v>254169.26999999996</v>
      </c>
      <c r="I60" s="342">
        <f>48630.19+664754.83</f>
        <v>713385.02</v>
      </c>
      <c r="J60" s="342">
        <f>736.72+68361.7</f>
        <v>69098.42</v>
      </c>
      <c r="K60" s="342"/>
      <c r="L60" s="342">
        <v>0</v>
      </c>
      <c r="M60" s="342">
        <v>0</v>
      </c>
      <c r="N60" s="427">
        <f t="shared" si="1"/>
        <v>39.354577844117259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</row>
    <row r="61" spans="1:33" s="5" customFormat="1">
      <c r="A61" s="461"/>
      <c r="B61" s="265">
        <v>85202</v>
      </c>
      <c r="C61" s="261" t="s">
        <v>96</v>
      </c>
      <c r="D61" s="342">
        <v>1835000</v>
      </c>
      <c r="E61" s="342">
        <v>863822.97</v>
      </c>
      <c r="F61" s="342">
        <f>E61-M61</f>
        <v>863722</v>
      </c>
      <c r="G61" s="342"/>
      <c r="H61" s="342"/>
      <c r="I61" s="342">
        <v>863722</v>
      </c>
      <c r="J61" s="342"/>
      <c r="K61" s="342"/>
      <c r="L61" s="342">
        <v>0</v>
      </c>
      <c r="M61" s="342">
        <v>100.97</v>
      </c>
      <c r="N61" s="427">
        <f t="shared" si="1"/>
        <v>47.074821253405993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</row>
    <row r="62" spans="1:33">
      <c r="A62" s="461"/>
      <c r="B62" s="265">
        <v>85203</v>
      </c>
      <c r="C62" s="261" t="s">
        <v>97</v>
      </c>
      <c r="D62" s="342">
        <v>371500</v>
      </c>
      <c r="E62" s="342">
        <v>188017.11</v>
      </c>
      <c r="F62" s="344">
        <f t="shared" ref="F62:F67" si="11">E62</f>
        <v>188017.11</v>
      </c>
      <c r="G62" s="344">
        <f>103375.01+16704.52+19705.2+2863.62+7500</f>
        <v>150148.35</v>
      </c>
      <c r="H62" s="342">
        <f>F62-G62</f>
        <v>37868.75999999998</v>
      </c>
      <c r="I62" s="342"/>
      <c r="J62" s="342"/>
      <c r="K62" s="342"/>
      <c r="L62" s="342">
        <v>0</v>
      </c>
      <c r="M62" s="342">
        <v>0</v>
      </c>
      <c r="N62" s="427">
        <f t="shared" si="1"/>
        <v>50.610258411843866</v>
      </c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</row>
    <row r="63" spans="1:33">
      <c r="A63" s="461"/>
      <c r="B63" s="265">
        <v>85204</v>
      </c>
      <c r="C63" s="261" t="s">
        <v>120</v>
      </c>
      <c r="D63" s="342">
        <v>1738125.9</v>
      </c>
      <c r="E63" s="342">
        <v>779632.92</v>
      </c>
      <c r="F63" s="342">
        <f t="shared" si="11"/>
        <v>779632.92</v>
      </c>
      <c r="G63" s="344">
        <f>F63-I63-J63</f>
        <v>70747.140000000014</v>
      </c>
      <c r="H63" s="342">
        <v>0</v>
      </c>
      <c r="I63" s="342">
        <v>61793.97</v>
      </c>
      <c r="J63" s="342">
        <v>647091.81000000006</v>
      </c>
      <c r="K63" s="342"/>
      <c r="L63" s="342">
        <v>0</v>
      </c>
      <c r="M63" s="342">
        <v>0</v>
      </c>
      <c r="N63" s="427">
        <f t="shared" si="1"/>
        <v>44.854801369682143</v>
      </c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</row>
    <row r="64" spans="1:33" ht="22.5">
      <c r="A64" s="461"/>
      <c r="B64" s="265">
        <v>85205</v>
      </c>
      <c r="C64" s="261" t="s">
        <v>305</v>
      </c>
      <c r="D64" s="342">
        <v>320500</v>
      </c>
      <c r="E64" s="342">
        <v>169833.38</v>
      </c>
      <c r="F64" s="342">
        <f t="shared" si="11"/>
        <v>169833.38</v>
      </c>
      <c r="G64" s="342">
        <f>73015.47+11431.72+14305.18+2292.19+18009</f>
        <v>119053.56</v>
      </c>
      <c r="H64" s="342">
        <f>F64-G64-J64</f>
        <v>50774.580000000009</v>
      </c>
      <c r="I64" s="342"/>
      <c r="J64" s="342">
        <v>5.24</v>
      </c>
      <c r="K64" s="342"/>
      <c r="L64" s="342">
        <v>0</v>
      </c>
      <c r="M64" s="342">
        <v>0</v>
      </c>
      <c r="N64" s="427">
        <f t="shared" si="1"/>
        <v>52.990134165366619</v>
      </c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</row>
    <row r="65" spans="1:33" ht="12.75" customHeight="1">
      <c r="A65" s="461"/>
      <c r="B65" s="265">
        <v>85218</v>
      </c>
      <c r="C65" s="261" t="s">
        <v>99</v>
      </c>
      <c r="D65" s="342">
        <v>598456</v>
      </c>
      <c r="E65" s="342">
        <v>277581.73</v>
      </c>
      <c r="F65" s="342">
        <f t="shared" si="11"/>
        <v>277581.73</v>
      </c>
      <c r="G65" s="344">
        <f>126083.51+17584.41+21966.93+3580.44+330</f>
        <v>169545.28999999998</v>
      </c>
      <c r="H65" s="342">
        <f>F65-G65-J65</f>
        <v>107944.84</v>
      </c>
      <c r="I65" s="342"/>
      <c r="J65" s="342">
        <v>91.6</v>
      </c>
      <c r="K65" s="342"/>
      <c r="L65" s="342">
        <v>0</v>
      </c>
      <c r="M65" s="342">
        <v>0</v>
      </c>
      <c r="N65" s="427">
        <f t="shared" si="1"/>
        <v>46.382980536580796</v>
      </c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</row>
    <row r="66" spans="1:33" ht="12.75" customHeight="1">
      <c r="A66" s="461"/>
      <c r="B66" s="265">
        <v>85226</v>
      </c>
      <c r="C66" s="261" t="s">
        <v>267</v>
      </c>
      <c r="D66" s="342">
        <v>143923</v>
      </c>
      <c r="E66" s="342">
        <v>74463.009999999995</v>
      </c>
      <c r="F66" s="342">
        <f t="shared" si="11"/>
        <v>74463.009999999995</v>
      </c>
      <c r="G66" s="344">
        <f>42391.2+9518.27+7936.96+1271.77</f>
        <v>61118.2</v>
      </c>
      <c r="H66" s="342">
        <f>F66-G66</f>
        <v>13344.809999999998</v>
      </c>
      <c r="I66" s="342"/>
      <c r="J66" s="342"/>
      <c r="K66" s="342"/>
      <c r="L66" s="342"/>
      <c r="M66" s="342"/>
      <c r="N66" s="427">
        <f t="shared" si="1"/>
        <v>51.738089117097331</v>
      </c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</row>
    <row r="67" spans="1:33" ht="12.75" customHeight="1">
      <c r="A67" s="461"/>
      <c r="B67" s="265">
        <v>85233</v>
      </c>
      <c r="C67" s="261" t="s">
        <v>91</v>
      </c>
      <c r="D67" s="342">
        <v>3352</v>
      </c>
      <c r="E67" s="342">
        <v>20</v>
      </c>
      <c r="F67" s="342">
        <f t="shared" si="11"/>
        <v>20</v>
      </c>
      <c r="G67" s="342"/>
      <c r="H67" s="342">
        <f>F67</f>
        <v>20</v>
      </c>
      <c r="I67" s="342"/>
      <c r="J67" s="342"/>
      <c r="K67" s="342"/>
      <c r="L67" s="342">
        <v>0</v>
      </c>
      <c r="M67" s="342">
        <v>0</v>
      </c>
      <c r="N67" s="427">
        <f t="shared" si="1"/>
        <v>0.59665871121718372</v>
      </c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</row>
    <row r="68" spans="1:33" ht="12.75" customHeight="1">
      <c r="A68" s="462"/>
      <c r="B68" s="330">
        <v>85295</v>
      </c>
      <c r="C68" s="276" t="s">
        <v>80</v>
      </c>
      <c r="D68" s="342">
        <v>1464</v>
      </c>
      <c r="E68" s="342"/>
      <c r="F68" s="342"/>
      <c r="G68" s="342"/>
      <c r="H68" s="342"/>
      <c r="I68" s="342"/>
      <c r="J68" s="342"/>
      <c r="K68" s="342"/>
      <c r="L68" s="342"/>
      <c r="M68" s="342"/>
      <c r="N68" s="427">
        <f t="shared" si="1"/>
        <v>0</v>
      </c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</row>
    <row r="69" spans="1:33" s="4" customFormat="1" ht="21">
      <c r="A69" s="279">
        <v>853</v>
      </c>
      <c r="B69" s="279"/>
      <c r="C69" s="273" t="s">
        <v>42</v>
      </c>
      <c r="D69" s="343">
        <f>D71+D72+D73+D74+D70</f>
        <v>4002471.71</v>
      </c>
      <c r="E69" s="343">
        <f t="shared" ref="E69:M69" si="12">E71+E72+E73+E74+E70</f>
        <v>2235397.3600000003</v>
      </c>
      <c r="F69" s="343">
        <f t="shared" si="12"/>
        <v>2134659.0500000003</v>
      </c>
      <c r="G69" s="343">
        <f t="shared" si="12"/>
        <v>940385.61</v>
      </c>
      <c r="H69" s="343">
        <f t="shared" si="12"/>
        <v>95903.020000000397</v>
      </c>
      <c r="I69" s="343">
        <f t="shared" si="12"/>
        <v>131143.04999999999</v>
      </c>
      <c r="J69" s="343">
        <f t="shared" si="12"/>
        <v>39750.81</v>
      </c>
      <c r="K69" s="343">
        <f t="shared" si="12"/>
        <v>927476.55999999982</v>
      </c>
      <c r="L69" s="343">
        <f t="shared" si="12"/>
        <v>0</v>
      </c>
      <c r="M69" s="343">
        <f t="shared" si="12"/>
        <v>100738.31</v>
      </c>
      <c r="N69" s="427">
        <f t="shared" si="1"/>
        <v>55.850422488058015</v>
      </c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</row>
    <row r="70" spans="1:33" s="5" customFormat="1" ht="22.5">
      <c r="A70" s="468"/>
      <c r="B70" s="265">
        <v>85311</v>
      </c>
      <c r="C70" s="221" t="s">
        <v>171</v>
      </c>
      <c r="D70" s="342">
        <v>87040</v>
      </c>
      <c r="E70" s="342">
        <v>87040</v>
      </c>
      <c r="F70" s="342">
        <f>E70</f>
        <v>87040</v>
      </c>
      <c r="G70" s="342"/>
      <c r="H70" s="342"/>
      <c r="I70" s="342">
        <f>F70</f>
        <v>87040</v>
      </c>
      <c r="J70" s="342"/>
      <c r="K70" s="342"/>
      <c r="L70" s="342">
        <v>0</v>
      </c>
      <c r="M70" s="342">
        <v>0</v>
      </c>
      <c r="N70" s="427">
        <f t="shared" si="1"/>
        <v>100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</row>
    <row r="71" spans="1:33" ht="12" customHeight="1">
      <c r="A71" s="468"/>
      <c r="B71" s="265">
        <v>85321</v>
      </c>
      <c r="C71" s="261" t="s">
        <v>123</v>
      </c>
      <c r="D71" s="342">
        <v>78000</v>
      </c>
      <c r="E71" s="342">
        <v>36897.4</v>
      </c>
      <c r="F71" s="342">
        <f>E71</f>
        <v>36897.4</v>
      </c>
      <c r="G71" s="342">
        <f>16652+1932.84+2841.63+455.33+2000</f>
        <v>23881.800000000003</v>
      </c>
      <c r="H71" s="342">
        <f>F71-G71</f>
        <v>13015.599999999999</v>
      </c>
      <c r="I71" s="342"/>
      <c r="J71" s="342"/>
      <c r="K71" s="342"/>
      <c r="L71" s="342">
        <v>0</v>
      </c>
      <c r="M71" s="342">
        <v>0</v>
      </c>
      <c r="N71" s="427">
        <f t="shared" si="1"/>
        <v>47.304358974358976</v>
      </c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</row>
    <row r="72" spans="1:33" ht="14.25" customHeight="1">
      <c r="A72" s="468"/>
      <c r="B72" s="265">
        <v>85333</v>
      </c>
      <c r="C72" s="261" t="s">
        <v>101</v>
      </c>
      <c r="D72" s="342">
        <v>2426072.17</v>
      </c>
      <c r="E72" s="342">
        <f>1071147.62+198.11</f>
        <v>1071345.7300000002</v>
      </c>
      <c r="F72" s="342">
        <f>E72-M72</f>
        <v>970607.42000000016</v>
      </c>
      <c r="G72" s="342">
        <f>652309.59+98529.11+104625.73+14964.76+19646.44</f>
        <v>890075.62999999989</v>
      </c>
      <c r="H72" s="342">
        <f>F72-G72-J72</f>
        <v>80171.79000000027</v>
      </c>
      <c r="I72" s="342"/>
      <c r="J72" s="342">
        <v>360</v>
      </c>
      <c r="K72" s="342"/>
      <c r="L72" s="342">
        <v>0</v>
      </c>
      <c r="M72" s="342">
        <f>50270.1+50270.1+198.11</f>
        <v>100738.31</v>
      </c>
      <c r="N72" s="427">
        <f t="shared" si="1"/>
        <v>44.159680954585959</v>
      </c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</row>
    <row r="73" spans="1:33" ht="14.25" customHeight="1">
      <c r="A73" s="468"/>
      <c r="B73" s="265">
        <v>85334</v>
      </c>
      <c r="C73" s="276" t="s">
        <v>132</v>
      </c>
      <c r="D73" s="342">
        <v>41643</v>
      </c>
      <c r="E73" s="342">
        <v>39390.81</v>
      </c>
      <c r="F73" s="342">
        <f>E73</f>
        <v>39390.81</v>
      </c>
      <c r="G73" s="342"/>
      <c r="H73" s="342"/>
      <c r="I73" s="342"/>
      <c r="J73" s="342">
        <v>39390.81</v>
      </c>
      <c r="K73" s="342"/>
      <c r="L73" s="342">
        <v>0</v>
      </c>
      <c r="M73" s="342">
        <v>0</v>
      </c>
      <c r="N73" s="427">
        <f t="shared" si="1"/>
        <v>94.591672069735594</v>
      </c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</row>
    <row r="74" spans="1:33" ht="14.25" customHeight="1">
      <c r="A74" s="468"/>
      <c r="B74" s="265">
        <v>85395</v>
      </c>
      <c r="C74" s="276" t="s">
        <v>80</v>
      </c>
      <c r="D74" s="342">
        <v>1369716.54</v>
      </c>
      <c r="E74" s="342">
        <v>1000723.42</v>
      </c>
      <c r="F74" s="342">
        <f>E74</f>
        <v>1000723.42</v>
      </c>
      <c r="G74" s="342">
        <f>9751.83+1531.44+3185.5+169.26+2250.27+618.03+365.11+93.03+3782.19+4681.52</f>
        <v>26428.179999999997</v>
      </c>
      <c r="H74" s="342">
        <f>F74-G74-I74-K74</f>
        <v>2715.6300000001211</v>
      </c>
      <c r="I74" s="342">
        <f>44103.05</f>
        <v>44103.05</v>
      </c>
      <c r="J74" s="342"/>
      <c r="K74" s="342">
        <f>749751.85+60202.34+8507.36+16256.69+2514.76+79518.48+10725.08</f>
        <v>927476.55999999982</v>
      </c>
      <c r="L74" s="342">
        <v>0</v>
      </c>
      <c r="M74" s="342">
        <v>0</v>
      </c>
      <c r="N74" s="427">
        <f t="shared" si="1"/>
        <v>73.060621725426486</v>
      </c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</row>
    <row r="75" spans="1:33" s="4" customFormat="1" ht="12.75" customHeight="1">
      <c r="A75" s="279">
        <v>854</v>
      </c>
      <c r="B75" s="279" t="s">
        <v>18</v>
      </c>
      <c r="C75" s="273" t="s">
        <v>102</v>
      </c>
      <c r="D75" s="343">
        <f>SUM(D76:D83)</f>
        <v>5734995.2699999996</v>
      </c>
      <c r="E75" s="343">
        <f t="shared" ref="E75:M75" si="13">SUM(E76:E83)</f>
        <v>2224082.5500000003</v>
      </c>
      <c r="F75" s="343">
        <f t="shared" si="13"/>
        <v>2208038.5</v>
      </c>
      <c r="G75" s="343">
        <f t="shared" si="13"/>
        <v>1176243.8899999999</v>
      </c>
      <c r="H75" s="343">
        <f t="shared" si="13"/>
        <v>403360.19000000012</v>
      </c>
      <c r="I75" s="343">
        <f t="shared" si="13"/>
        <v>585927.93999999994</v>
      </c>
      <c r="J75" s="343">
        <f t="shared" si="13"/>
        <v>42506.48</v>
      </c>
      <c r="K75" s="343">
        <f t="shared" si="13"/>
        <v>0</v>
      </c>
      <c r="L75" s="343">
        <f t="shared" si="13"/>
        <v>0</v>
      </c>
      <c r="M75" s="343">
        <f t="shared" si="13"/>
        <v>16044.05</v>
      </c>
      <c r="N75" s="427">
        <f t="shared" si="1"/>
        <v>38.780895977966523</v>
      </c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</row>
    <row r="76" spans="1:33" ht="11.25" customHeight="1">
      <c r="A76" s="460"/>
      <c r="B76" s="265">
        <v>85406</v>
      </c>
      <c r="C76" s="261" t="s">
        <v>50</v>
      </c>
      <c r="D76" s="342">
        <v>855477</v>
      </c>
      <c r="E76" s="342">
        <v>445831</v>
      </c>
      <c r="F76" s="342">
        <f>E76</f>
        <v>445831</v>
      </c>
      <c r="G76" s="344">
        <f>273512.1+39000.58+44546.6+6922.91+4899.6</f>
        <v>368881.78999999992</v>
      </c>
      <c r="H76" s="342">
        <f>F76-G76-J76</f>
        <v>76799.210000000079</v>
      </c>
      <c r="I76" s="342">
        <v>0</v>
      </c>
      <c r="J76" s="342">
        <v>150</v>
      </c>
      <c r="K76" s="342"/>
      <c r="L76" s="342">
        <v>0</v>
      </c>
      <c r="M76" s="342">
        <v>0</v>
      </c>
      <c r="N76" s="427">
        <f t="shared" si="1"/>
        <v>52.114901978662196</v>
      </c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</row>
    <row r="77" spans="1:33" ht="12.75" customHeight="1">
      <c r="A77" s="461"/>
      <c r="B77" s="265">
        <v>85407</v>
      </c>
      <c r="C77" s="261" t="s">
        <v>51</v>
      </c>
      <c r="D77" s="342">
        <v>426564</v>
      </c>
      <c r="E77" s="342">
        <v>234239.31</v>
      </c>
      <c r="F77" s="342">
        <f>E77-M77</f>
        <v>234239.31</v>
      </c>
      <c r="G77" s="344">
        <f>110353+18818.95+16625.45+2838.69+34019</f>
        <v>182655.09</v>
      </c>
      <c r="H77" s="342">
        <f>F77-G77</f>
        <v>51584.22</v>
      </c>
      <c r="I77" s="342">
        <v>0</v>
      </c>
      <c r="J77" s="342"/>
      <c r="K77" s="342"/>
      <c r="L77" s="342">
        <v>0</v>
      </c>
      <c r="M77" s="342">
        <v>0</v>
      </c>
      <c r="N77" s="427">
        <f t="shared" ref="N77:N92" si="14">E77/D77*100</f>
        <v>54.913051734323574</v>
      </c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</row>
    <row r="78" spans="1:33">
      <c r="A78" s="461"/>
      <c r="B78" s="265">
        <v>85410</v>
      </c>
      <c r="C78" s="261" t="s">
        <v>52</v>
      </c>
      <c r="D78" s="344">
        <v>1863561.27</v>
      </c>
      <c r="E78" s="344">
        <v>261100.3</v>
      </c>
      <c r="F78" s="342">
        <f>E78-M78</f>
        <v>245056.25</v>
      </c>
      <c r="G78" s="344">
        <f>107516.9+18717.5+21630.06+3315.47+8118.22</f>
        <v>159298.15</v>
      </c>
      <c r="H78" s="342">
        <f>F78-G78-J78</f>
        <v>79384.5</v>
      </c>
      <c r="I78" s="342">
        <v>0</v>
      </c>
      <c r="J78" s="342">
        <v>6373.6</v>
      </c>
      <c r="K78" s="342"/>
      <c r="L78" s="342">
        <v>0</v>
      </c>
      <c r="M78" s="342">
        <v>16044.05</v>
      </c>
      <c r="N78" s="427">
        <f t="shared" si="14"/>
        <v>14.010824554214951</v>
      </c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</row>
    <row r="79" spans="1:33">
      <c r="A79" s="461"/>
      <c r="B79" s="265">
        <v>85415</v>
      </c>
      <c r="C79" s="261" t="s">
        <v>104</v>
      </c>
      <c r="D79" s="344">
        <v>20000</v>
      </c>
      <c r="E79" s="344">
        <v>9600</v>
      </c>
      <c r="F79" s="342">
        <f>E79</f>
        <v>9600</v>
      </c>
      <c r="G79" s="342"/>
      <c r="H79" s="342"/>
      <c r="I79" s="342">
        <v>0</v>
      </c>
      <c r="J79" s="342">
        <v>9600</v>
      </c>
      <c r="K79" s="342"/>
      <c r="L79" s="342">
        <v>0</v>
      </c>
      <c r="M79" s="342">
        <v>0</v>
      </c>
      <c r="N79" s="427">
        <f t="shared" si="14"/>
        <v>48</v>
      </c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</row>
    <row r="80" spans="1:33" ht="12" customHeight="1">
      <c r="A80" s="461"/>
      <c r="B80" s="265">
        <v>85419</v>
      </c>
      <c r="C80" s="261" t="s">
        <v>169</v>
      </c>
      <c r="D80" s="344">
        <v>1188315</v>
      </c>
      <c r="E80" s="344">
        <v>585927.93999999994</v>
      </c>
      <c r="F80" s="342">
        <f>E80</f>
        <v>585927.93999999994</v>
      </c>
      <c r="G80" s="342"/>
      <c r="H80" s="342"/>
      <c r="I80" s="342">
        <f>F80</f>
        <v>585927.93999999994</v>
      </c>
      <c r="J80" s="342"/>
      <c r="K80" s="342"/>
      <c r="L80" s="342">
        <v>0</v>
      </c>
      <c r="M80" s="342">
        <v>0</v>
      </c>
      <c r="N80" s="427">
        <f t="shared" si="14"/>
        <v>49.307459722380003</v>
      </c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</row>
    <row r="81" spans="1:33">
      <c r="A81" s="461"/>
      <c r="B81" s="265">
        <v>85420</v>
      </c>
      <c r="C81" s="261" t="s">
        <v>126</v>
      </c>
      <c r="D81" s="344">
        <v>1285043</v>
      </c>
      <c r="E81" s="344">
        <v>684588.05</v>
      </c>
      <c r="F81" s="342">
        <f>E81</f>
        <v>684588.05</v>
      </c>
      <c r="G81" s="344">
        <f>340044.67+54462.19+61931.07+8970.93</f>
        <v>465408.86</v>
      </c>
      <c r="H81" s="342">
        <f>F81-G81-J81</f>
        <v>192796.31000000006</v>
      </c>
      <c r="I81" s="342"/>
      <c r="J81" s="342">
        <v>26382.880000000001</v>
      </c>
      <c r="K81" s="342"/>
      <c r="L81" s="342">
        <v>0</v>
      </c>
      <c r="M81" s="342">
        <v>0</v>
      </c>
      <c r="N81" s="427">
        <f t="shared" si="14"/>
        <v>53.273551935616169</v>
      </c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</row>
    <row r="82" spans="1:33" ht="22.5">
      <c r="A82" s="461"/>
      <c r="B82" s="265">
        <v>85446</v>
      </c>
      <c r="C82" s="261" t="s">
        <v>91</v>
      </c>
      <c r="D82" s="344">
        <v>14971</v>
      </c>
      <c r="E82" s="344">
        <v>2795.95</v>
      </c>
      <c r="F82" s="342">
        <f>E82</f>
        <v>2795.95</v>
      </c>
      <c r="G82" s="342"/>
      <c r="H82" s="342">
        <f>F82</f>
        <v>2795.95</v>
      </c>
      <c r="I82" s="342"/>
      <c r="J82" s="342"/>
      <c r="K82" s="342"/>
      <c r="L82" s="342">
        <v>0</v>
      </c>
      <c r="M82" s="342">
        <v>0</v>
      </c>
      <c r="N82" s="427">
        <f t="shared" si="14"/>
        <v>18.675773161445459</v>
      </c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</row>
    <row r="83" spans="1:33">
      <c r="A83" s="462"/>
      <c r="B83" s="330">
        <v>85495</v>
      </c>
      <c r="C83" s="276" t="s">
        <v>80</v>
      </c>
      <c r="D83" s="344">
        <v>81064</v>
      </c>
      <c r="E83" s="344">
        <v>0</v>
      </c>
      <c r="F83" s="342">
        <f>E83</f>
        <v>0</v>
      </c>
      <c r="G83" s="342"/>
      <c r="H83" s="342"/>
      <c r="I83" s="342"/>
      <c r="J83" s="342"/>
      <c r="K83" s="342"/>
      <c r="L83" s="342"/>
      <c r="M83" s="342"/>
      <c r="N83" s="427">
        <f t="shared" si="14"/>
        <v>0</v>
      </c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</row>
    <row r="84" spans="1:33" s="41" customFormat="1" ht="21">
      <c r="A84" s="279">
        <v>921</v>
      </c>
      <c r="B84" s="279"/>
      <c r="C84" s="273" t="s">
        <v>124</v>
      </c>
      <c r="D84" s="343">
        <f>D85+D86+D87</f>
        <v>216500</v>
      </c>
      <c r="E84" s="343">
        <f t="shared" ref="E84:M84" si="15">E85+E86+E87</f>
        <v>39500</v>
      </c>
      <c r="F84" s="343">
        <f t="shared" si="15"/>
        <v>39500</v>
      </c>
      <c r="G84" s="343">
        <f t="shared" si="15"/>
        <v>0</v>
      </c>
      <c r="H84" s="343">
        <f t="shared" si="15"/>
        <v>0</v>
      </c>
      <c r="I84" s="343">
        <f t="shared" si="15"/>
        <v>39500</v>
      </c>
      <c r="J84" s="343">
        <f t="shared" si="15"/>
        <v>0</v>
      </c>
      <c r="K84" s="343">
        <f t="shared" si="15"/>
        <v>0</v>
      </c>
      <c r="L84" s="343">
        <f t="shared" si="15"/>
        <v>0</v>
      </c>
      <c r="M84" s="343">
        <f t="shared" si="15"/>
        <v>0</v>
      </c>
      <c r="N84" s="427">
        <f t="shared" si="14"/>
        <v>18.244803695150118</v>
      </c>
      <c r="O84" s="40"/>
      <c r="P84" s="40"/>
      <c r="Q84" s="40"/>
      <c r="R84" s="40"/>
      <c r="S84" s="40"/>
      <c r="T84" s="40"/>
      <c r="U84" s="40"/>
      <c r="V84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</row>
    <row r="85" spans="1:33">
      <c r="A85" s="528"/>
      <c r="B85" s="265">
        <v>92105</v>
      </c>
      <c r="C85" s="261" t="s">
        <v>125</v>
      </c>
      <c r="D85" s="342">
        <v>60000</v>
      </c>
      <c r="E85" s="342">
        <v>11500</v>
      </c>
      <c r="F85" s="342">
        <f>E85</f>
        <v>11500</v>
      </c>
      <c r="G85" s="342">
        <v>0</v>
      </c>
      <c r="H85" s="342">
        <v>0</v>
      </c>
      <c r="I85" s="342">
        <f>F85</f>
        <v>11500</v>
      </c>
      <c r="J85" s="342"/>
      <c r="K85" s="342"/>
      <c r="L85" s="342">
        <v>0</v>
      </c>
      <c r="M85" s="342">
        <v>0</v>
      </c>
      <c r="N85" s="427">
        <f t="shared" si="14"/>
        <v>19.166666666666668</v>
      </c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</row>
    <row r="86" spans="1:33">
      <c r="A86" s="528"/>
      <c r="B86" s="265">
        <v>92116</v>
      </c>
      <c r="C86" s="261" t="s">
        <v>210</v>
      </c>
      <c r="D86" s="342">
        <v>86500</v>
      </c>
      <c r="E86" s="342">
        <v>28000</v>
      </c>
      <c r="F86" s="342">
        <f>E86-M86</f>
        <v>28000</v>
      </c>
      <c r="G86" s="342">
        <v>0</v>
      </c>
      <c r="H86" s="342">
        <v>0</v>
      </c>
      <c r="I86" s="342">
        <v>28000</v>
      </c>
      <c r="J86" s="342"/>
      <c r="K86" s="342"/>
      <c r="L86" s="342">
        <v>0</v>
      </c>
      <c r="M86" s="342">
        <v>0</v>
      </c>
      <c r="N86" s="427">
        <f t="shared" si="14"/>
        <v>32.369942196531795</v>
      </c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</row>
    <row r="87" spans="1:33">
      <c r="A87" s="528"/>
      <c r="B87" s="265">
        <v>92195</v>
      </c>
      <c r="C87" s="261" t="s">
        <v>80</v>
      </c>
      <c r="D87" s="342">
        <v>70000</v>
      </c>
      <c r="E87" s="342">
        <v>0</v>
      </c>
      <c r="F87" s="342">
        <v>0</v>
      </c>
      <c r="G87" s="342">
        <v>0</v>
      </c>
      <c r="H87" s="342">
        <v>0</v>
      </c>
      <c r="I87" s="342">
        <v>0</v>
      </c>
      <c r="J87" s="342"/>
      <c r="K87" s="342"/>
      <c r="L87" s="342">
        <v>0</v>
      </c>
      <c r="M87" s="342">
        <v>0</v>
      </c>
      <c r="N87" s="427">
        <f t="shared" si="14"/>
        <v>0</v>
      </c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</row>
    <row r="88" spans="1:33" s="4" customFormat="1">
      <c r="A88" s="279">
        <v>926</v>
      </c>
      <c r="B88" s="279"/>
      <c r="C88" s="273" t="s">
        <v>105</v>
      </c>
      <c r="D88" s="343">
        <f>D90+D89+D91</f>
        <v>2614707</v>
      </c>
      <c r="E88" s="343">
        <f t="shared" ref="E88:M88" si="16">E90+E89+E91</f>
        <v>87556.510000000009</v>
      </c>
      <c r="F88" s="343">
        <f t="shared" si="16"/>
        <v>77000</v>
      </c>
      <c r="G88" s="343">
        <f t="shared" si="16"/>
        <v>0</v>
      </c>
      <c r="H88" s="343">
        <f t="shared" si="16"/>
        <v>0</v>
      </c>
      <c r="I88" s="343">
        <f t="shared" si="16"/>
        <v>75000</v>
      </c>
      <c r="J88" s="343">
        <f t="shared" si="16"/>
        <v>2000</v>
      </c>
      <c r="K88" s="343">
        <f t="shared" si="16"/>
        <v>0</v>
      </c>
      <c r="L88" s="343">
        <f t="shared" si="16"/>
        <v>0</v>
      </c>
      <c r="M88" s="343">
        <f t="shared" si="16"/>
        <v>10556.51</v>
      </c>
      <c r="N88" s="427">
        <f t="shared" si="14"/>
        <v>3.3486164989040841</v>
      </c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</row>
    <row r="89" spans="1:33" s="5" customFormat="1">
      <c r="A89" s="468"/>
      <c r="B89" s="265">
        <v>92601</v>
      </c>
      <c r="C89" s="261" t="s">
        <v>170</v>
      </c>
      <c r="D89" s="342">
        <v>2509707</v>
      </c>
      <c r="E89" s="342">
        <v>10556.51</v>
      </c>
      <c r="F89" s="342"/>
      <c r="G89" s="342"/>
      <c r="H89" s="342"/>
      <c r="I89" s="342"/>
      <c r="J89" s="342"/>
      <c r="K89" s="342"/>
      <c r="L89" s="342">
        <v>0</v>
      </c>
      <c r="M89" s="342">
        <f>E89</f>
        <v>10556.51</v>
      </c>
      <c r="N89" s="427">
        <f t="shared" si="14"/>
        <v>0.42062718875151561</v>
      </c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</row>
    <row r="90" spans="1:33" ht="24.75" customHeight="1">
      <c r="A90" s="468"/>
      <c r="B90" s="265">
        <v>92605</v>
      </c>
      <c r="C90" s="261" t="s">
        <v>106</v>
      </c>
      <c r="D90" s="342">
        <v>65000</v>
      </c>
      <c r="E90" s="342">
        <v>45000</v>
      </c>
      <c r="F90" s="342">
        <f>E90</f>
        <v>45000</v>
      </c>
      <c r="G90" s="342"/>
      <c r="H90" s="342"/>
      <c r="I90" s="342">
        <f>F90</f>
        <v>45000</v>
      </c>
      <c r="J90" s="342"/>
      <c r="K90" s="342"/>
      <c r="L90" s="342">
        <v>0</v>
      </c>
      <c r="M90" s="342">
        <v>0</v>
      </c>
      <c r="N90" s="427">
        <f t="shared" si="14"/>
        <v>69.230769230769226</v>
      </c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</row>
    <row r="91" spans="1:33" ht="15" customHeight="1">
      <c r="A91" s="468"/>
      <c r="B91" s="265">
        <v>92695</v>
      </c>
      <c r="C91" s="261" t="s">
        <v>80</v>
      </c>
      <c r="D91" s="342">
        <v>40000</v>
      </c>
      <c r="E91" s="342">
        <v>32000</v>
      </c>
      <c r="F91" s="342">
        <f>E91</f>
        <v>32000</v>
      </c>
      <c r="G91" s="342"/>
      <c r="H91" s="342"/>
      <c r="I91" s="342">
        <v>30000</v>
      </c>
      <c r="J91" s="342">
        <v>2000</v>
      </c>
      <c r="K91" s="342"/>
      <c r="L91" s="342">
        <v>0</v>
      </c>
      <c r="M91" s="342">
        <v>0</v>
      </c>
      <c r="N91" s="427">
        <f t="shared" si="14"/>
        <v>80</v>
      </c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</row>
    <row r="92" spans="1:33" s="57" customFormat="1" ht="12">
      <c r="A92" s="527" t="s">
        <v>32</v>
      </c>
      <c r="B92" s="527"/>
      <c r="C92" s="527"/>
      <c r="D92" s="343">
        <f>D12+D15+D18+D20+D24+D26+D30+D37+D42+D44+D55+D59+D69+D75+D84+D88</f>
        <v>70458585.489999995</v>
      </c>
      <c r="E92" s="343">
        <f t="shared" ref="E92:M92" si="17">E12+E15+E18+E20+E24+E26+E30+E37+E42+E44+E55+E59+E69+E75+E84+E88</f>
        <v>25006488.900000002</v>
      </c>
      <c r="F92" s="343">
        <f t="shared" si="17"/>
        <v>22769756.050000001</v>
      </c>
      <c r="G92" s="343">
        <f t="shared" si="17"/>
        <v>11535408.98</v>
      </c>
      <c r="H92" s="343">
        <f t="shared" si="17"/>
        <v>5722964.8000000007</v>
      </c>
      <c r="I92" s="343">
        <f t="shared" si="17"/>
        <v>3227875.8899999997</v>
      </c>
      <c r="J92" s="343">
        <f t="shared" si="17"/>
        <v>1173743.9200000002</v>
      </c>
      <c r="K92" s="343">
        <f t="shared" si="17"/>
        <v>927476.55999999982</v>
      </c>
      <c r="L92" s="343">
        <f t="shared" si="17"/>
        <v>182285.9</v>
      </c>
      <c r="M92" s="343">
        <f t="shared" si="17"/>
        <v>2236732.8499999996</v>
      </c>
      <c r="N92" s="427">
        <f t="shared" si="14"/>
        <v>35.491045876231944</v>
      </c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</row>
    <row r="93" spans="1:3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33">
      <c r="A94" s="1"/>
      <c r="B94" s="1"/>
      <c r="C94" s="1"/>
      <c r="D94" s="1"/>
      <c r="E94" s="1"/>
      <c r="F94" s="525">
        <f>F92+M92-E92</f>
        <v>0</v>
      </c>
      <c r="G94" s="525"/>
      <c r="H94" s="1"/>
      <c r="I94" s="1"/>
      <c r="J94" s="1"/>
      <c r="K94" s="1"/>
      <c r="L94" s="1"/>
      <c r="M94" s="1"/>
    </row>
    <row r="95" spans="1:33">
      <c r="E95" s="347"/>
      <c r="F95" s="526"/>
      <c r="G95" s="526"/>
    </row>
    <row r="96" spans="1:33">
      <c r="G96" s="39"/>
    </row>
  </sheetData>
  <mergeCells count="31">
    <mergeCell ref="A38:A41"/>
    <mergeCell ref="A76:A83"/>
    <mergeCell ref="A60:A68"/>
    <mergeCell ref="A56:A58"/>
    <mergeCell ref="A21:A23"/>
    <mergeCell ref="A31:A36"/>
    <mergeCell ref="A27:A29"/>
    <mergeCell ref="F94:G94"/>
    <mergeCell ref="F95:G95"/>
    <mergeCell ref="A45:A54"/>
    <mergeCell ref="A92:C92"/>
    <mergeCell ref="A89:A91"/>
    <mergeCell ref="A85:A87"/>
    <mergeCell ref="A70:A74"/>
    <mergeCell ref="I1:N1"/>
    <mergeCell ref="F8:M8"/>
    <mergeCell ref="M9:M10"/>
    <mergeCell ref="F9:F10"/>
    <mergeCell ref="N8:N10"/>
    <mergeCell ref="G9:L9"/>
    <mergeCell ref="A16:A17"/>
    <mergeCell ref="A2:N2"/>
    <mergeCell ref="A3:N3"/>
    <mergeCell ref="A4:N4"/>
    <mergeCell ref="A5:N5"/>
    <mergeCell ref="A13:A14"/>
    <mergeCell ref="A8:A10"/>
    <mergeCell ref="B8:B10"/>
    <mergeCell ref="C8:C10"/>
    <mergeCell ref="D8:D10"/>
    <mergeCell ref="E8:E10"/>
  </mergeCells>
  <phoneticPr fontId="0" type="noConversion"/>
  <pageMargins left="0.78740157480314965" right="0.19685039370078741" top="0.78740157480314965" bottom="0.78740157480314965" header="0.51181102362204722" footer="0.51181102362204722"/>
  <pageSetup paperSize="9" scale="95" orientation="landscape" r:id="rId1"/>
  <headerFooter alignWithMargins="0">
    <oddFooter>&amp;C&amp;"Times New (W1),Normalny"Tabela Nr 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X125"/>
  <sheetViews>
    <sheetView tabSelected="1" view="pageLayout" workbookViewId="0">
      <selection activeCell="J95" sqref="J95"/>
    </sheetView>
  </sheetViews>
  <sheetFormatPr defaultRowHeight="12.75"/>
  <cols>
    <col min="1" max="1" width="5.28515625" customWidth="1"/>
    <col min="2" max="2" width="6" hidden="1" customWidth="1"/>
    <col min="3" max="3" width="6.140625" hidden="1" customWidth="1"/>
    <col min="4" max="4" width="25.28515625" customWidth="1"/>
    <col min="5" max="5" width="13.5703125" customWidth="1"/>
    <col min="6" max="6" width="12.7109375" hidden="1" customWidth="1"/>
    <col min="7" max="8" width="12.7109375" customWidth="1"/>
    <col min="9" max="9" width="15.140625" customWidth="1"/>
    <col min="10" max="10" width="16.7109375" hidden="1" customWidth="1"/>
    <col min="11" max="11" width="40.7109375" customWidth="1"/>
    <col min="12" max="12" width="0.85546875" hidden="1" customWidth="1"/>
  </cols>
  <sheetData>
    <row r="1" spans="1:24" ht="15.75" customHeight="1">
      <c r="D1" t="s">
        <v>143</v>
      </c>
      <c r="E1" t="s">
        <v>134</v>
      </c>
    </row>
    <row r="2" spans="1:24" s="3" customFormat="1">
      <c r="A2" s="131" t="s">
        <v>19</v>
      </c>
      <c r="B2" s="26"/>
      <c r="C2" s="12" t="s">
        <v>33</v>
      </c>
      <c r="D2" s="13">
        <v>125294</v>
      </c>
      <c r="E2" s="27">
        <v>4259</v>
      </c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24" hidden="1">
      <c r="A3" s="132" t="s">
        <v>18</v>
      </c>
      <c r="B3" s="17" t="s">
        <v>54</v>
      </c>
      <c r="C3" s="14" t="s">
        <v>70</v>
      </c>
      <c r="D3" s="8">
        <v>92000</v>
      </c>
      <c r="E3" s="8">
        <v>2213</v>
      </c>
      <c r="F3" s="8">
        <v>0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</row>
    <row r="4" spans="1:24" hidden="1">
      <c r="A4" s="132"/>
      <c r="B4" s="17" t="s">
        <v>127</v>
      </c>
      <c r="C4" s="35" t="s">
        <v>128</v>
      </c>
      <c r="D4" s="8">
        <v>104</v>
      </c>
      <c r="E4" s="8">
        <v>104</v>
      </c>
      <c r="F4" s="8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</row>
    <row r="5" spans="1:24" s="4" customFormat="1" ht="24">
      <c r="A5" s="131" t="s">
        <v>20</v>
      </c>
      <c r="B5" s="130"/>
      <c r="C5" s="15" t="s">
        <v>34</v>
      </c>
      <c r="D5" s="16">
        <v>295000</v>
      </c>
      <c r="E5" s="16">
        <v>132232.38</v>
      </c>
      <c r="F5" s="16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spans="1:24" ht="48" hidden="1">
      <c r="A6" s="132"/>
      <c r="B6" s="17" t="s">
        <v>72</v>
      </c>
      <c r="C6" s="7" t="s">
        <v>73</v>
      </c>
      <c r="D6" s="8">
        <v>224829</v>
      </c>
      <c r="E6" s="8">
        <v>116347</v>
      </c>
      <c r="F6" s="8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24" hidden="1">
      <c r="A7" s="132"/>
      <c r="B7" s="17" t="s">
        <v>108</v>
      </c>
      <c r="C7" s="14" t="s">
        <v>109</v>
      </c>
      <c r="D7" s="8">
        <v>8200</v>
      </c>
      <c r="E7" s="8">
        <v>0</v>
      </c>
      <c r="F7" s="8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</row>
    <row r="8" spans="1:24">
      <c r="A8" s="132">
        <v>150</v>
      </c>
      <c r="B8" s="17"/>
      <c r="C8" s="14"/>
      <c r="D8" s="8">
        <v>1520</v>
      </c>
      <c r="E8" s="129">
        <v>1519.73</v>
      </c>
      <c r="F8" s="8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</row>
    <row r="9" spans="1:24" s="4" customFormat="1">
      <c r="A9" s="133">
        <v>600</v>
      </c>
      <c r="B9" s="130"/>
      <c r="C9" s="18" t="s">
        <v>75</v>
      </c>
      <c r="D9" s="16">
        <v>8561405.0899999999</v>
      </c>
      <c r="E9" s="31">
        <v>1649291.71</v>
      </c>
      <c r="F9" s="16">
        <f>F10</f>
        <v>262320</v>
      </c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</row>
    <row r="10" spans="1:24" hidden="1">
      <c r="A10" s="132"/>
      <c r="B10" s="17">
        <v>60014</v>
      </c>
      <c r="C10" s="14" t="s">
        <v>45</v>
      </c>
      <c r="D10" s="8">
        <v>1203064</v>
      </c>
      <c r="E10" s="8">
        <f>484309</f>
        <v>484309</v>
      </c>
      <c r="F10" s="8">
        <f>187452+34873+33469+5726+800</f>
        <v>262320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s="4" customFormat="1">
      <c r="A11" s="133">
        <v>700</v>
      </c>
      <c r="B11" s="130"/>
      <c r="C11" s="18" t="s">
        <v>35</v>
      </c>
      <c r="D11" s="16">
        <v>361092.34</v>
      </c>
      <c r="E11" s="16">
        <v>138522.95000000001</v>
      </c>
      <c r="F11" s="16">
        <f>F12</f>
        <v>244</v>
      </c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</row>
    <row r="12" spans="1:24" hidden="1">
      <c r="A12" s="132" t="s">
        <v>18</v>
      </c>
      <c r="B12" s="19">
        <v>70005</v>
      </c>
      <c r="C12" s="14" t="s">
        <v>76</v>
      </c>
      <c r="D12" s="8">
        <v>205200</v>
      </c>
      <c r="E12" s="8">
        <v>144908</v>
      </c>
      <c r="F12" s="8">
        <v>244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</row>
    <row r="13" spans="1:24" s="4" customFormat="1" ht="18" customHeight="1">
      <c r="A13" s="133">
        <v>710</v>
      </c>
      <c r="B13" s="26"/>
      <c r="C13" s="18" t="s">
        <v>110</v>
      </c>
      <c r="D13" s="16">
        <v>365173</v>
      </c>
      <c r="E13" s="16">
        <v>149685.07999999999</v>
      </c>
      <c r="F13" s="16">
        <f>F14+F15+F16</f>
        <v>53079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</row>
    <row r="14" spans="1:24" hidden="1">
      <c r="A14" s="132"/>
      <c r="B14" s="19">
        <v>71013</v>
      </c>
      <c r="C14" s="14" t="s">
        <v>111</v>
      </c>
      <c r="D14" s="8">
        <v>50000</v>
      </c>
      <c r="E14" s="8">
        <v>0</v>
      </c>
      <c r="F14" s="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</row>
    <row r="15" spans="1:24" ht="12.75" hidden="1" customHeight="1">
      <c r="A15" s="132"/>
      <c r="B15" s="19">
        <v>71014</v>
      </c>
      <c r="C15" s="7" t="s">
        <v>78</v>
      </c>
      <c r="D15" s="8">
        <v>20000</v>
      </c>
      <c r="E15" s="8">
        <v>0</v>
      </c>
      <c r="F15" s="8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24" ht="13.5" hidden="1" customHeight="1">
      <c r="A16" s="132" t="s">
        <v>18</v>
      </c>
      <c r="B16" s="19">
        <v>71015</v>
      </c>
      <c r="C16" s="7" t="s">
        <v>79</v>
      </c>
      <c r="D16" s="8">
        <v>121900</v>
      </c>
      <c r="E16" s="8">
        <v>57990</v>
      </c>
      <c r="F16" s="8">
        <f>26643+11345+6066+7954+1071</f>
        <v>53079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ht="13.5" hidden="1" customHeight="1">
      <c r="A17" s="132">
        <v>0</v>
      </c>
      <c r="B17" s="19">
        <v>71095</v>
      </c>
      <c r="C17" s="7" t="s">
        <v>80</v>
      </c>
      <c r="D17" s="8">
        <v>0</v>
      </c>
      <c r="E17" s="8">
        <v>0</v>
      </c>
      <c r="F17" s="8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</row>
    <row r="18" spans="1:24" s="4" customFormat="1" ht="60" hidden="1">
      <c r="A18" s="133">
        <v>750</v>
      </c>
      <c r="B18" s="26"/>
      <c r="C18" s="15" t="s">
        <v>37</v>
      </c>
      <c r="D18" s="16">
        <v>3770270</v>
      </c>
      <c r="E18" s="16">
        <v>1940122</v>
      </c>
      <c r="F18" s="16">
        <f>F19+F22+F20+F21+F23</f>
        <v>1088502</v>
      </c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</row>
    <row r="19" spans="1:24" ht="48" hidden="1">
      <c r="A19" s="132" t="s">
        <v>18</v>
      </c>
      <c r="B19" s="19">
        <v>75011</v>
      </c>
      <c r="C19" s="7" t="s">
        <v>82</v>
      </c>
      <c r="D19" s="8">
        <v>98000</v>
      </c>
      <c r="E19" s="8">
        <v>48996</v>
      </c>
      <c r="F19" s="8">
        <v>48996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1:24" ht="36" hidden="1">
      <c r="A20" s="132"/>
      <c r="B20" s="19">
        <v>75019</v>
      </c>
      <c r="C20" s="7" t="s">
        <v>112</v>
      </c>
      <c r="D20" s="8">
        <v>172200</v>
      </c>
      <c r="E20" s="8">
        <v>76455</v>
      </c>
      <c r="F20" s="8">
        <v>0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ht="48" hidden="1">
      <c r="A21" s="132"/>
      <c r="B21" s="19">
        <v>75020</v>
      </c>
      <c r="C21" s="7" t="s">
        <v>83</v>
      </c>
      <c r="D21" s="8">
        <v>2843856</v>
      </c>
      <c r="E21" s="8">
        <v>1524850</v>
      </c>
      <c r="F21" s="20">
        <f>734578+122354+126401+19171+28767</f>
        <v>1031271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ht="48" hidden="1">
      <c r="A22" s="132"/>
      <c r="B22" s="19">
        <v>75045</v>
      </c>
      <c r="C22" s="7" t="s">
        <v>84</v>
      </c>
      <c r="D22" s="8">
        <v>16162</v>
      </c>
      <c r="E22" s="8">
        <v>15620</v>
      </c>
      <c r="F22" s="20">
        <f>276+39+7920</f>
        <v>8235</v>
      </c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ht="48" hidden="1">
      <c r="A23" s="132"/>
      <c r="B23" s="19">
        <v>75095</v>
      </c>
      <c r="C23" s="7" t="s">
        <v>80</v>
      </c>
      <c r="D23" s="8">
        <v>152377</v>
      </c>
      <c r="E23" s="8">
        <v>105202</v>
      </c>
      <c r="F23" s="8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</row>
    <row r="24" spans="1:24" s="4" customFormat="1" ht="48" hidden="1">
      <c r="A24" s="133">
        <v>752</v>
      </c>
      <c r="B24" s="26"/>
      <c r="C24" s="15" t="s">
        <v>56</v>
      </c>
      <c r="D24" s="16">
        <v>300</v>
      </c>
      <c r="E24" s="16">
        <v>299</v>
      </c>
      <c r="F24" s="16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4" ht="72" hidden="1">
      <c r="A25" s="132"/>
      <c r="B25" s="19">
        <v>75212</v>
      </c>
      <c r="C25" s="7" t="s">
        <v>57</v>
      </c>
      <c r="D25" s="8">
        <v>1000</v>
      </c>
      <c r="E25" s="8">
        <v>0</v>
      </c>
      <c r="F25" s="8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</row>
    <row r="26" spans="1:24" s="4" customFormat="1" ht="84" hidden="1">
      <c r="A26" s="133">
        <v>754</v>
      </c>
      <c r="B26" s="26"/>
      <c r="C26" s="15" t="s">
        <v>113</v>
      </c>
      <c r="D26" s="16">
        <v>2201200</v>
      </c>
      <c r="E26" s="16">
        <v>1130720</v>
      </c>
      <c r="F26" s="16">
        <f>F28+F29</f>
        <v>751230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 s="5" customFormat="1" ht="17.25" hidden="1" customHeight="1">
      <c r="A27" s="132"/>
      <c r="B27" s="19">
        <v>75404</v>
      </c>
      <c r="C27" s="7" t="s">
        <v>114</v>
      </c>
      <c r="D27" s="8">
        <v>30000</v>
      </c>
      <c r="E27" s="8">
        <v>30000</v>
      </c>
      <c r="F27" s="8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spans="1:24" ht="108" hidden="1">
      <c r="A28" s="132"/>
      <c r="B28" s="19">
        <v>75411</v>
      </c>
      <c r="C28" s="7" t="s">
        <v>115</v>
      </c>
      <c r="D28" s="8">
        <v>2090222</v>
      </c>
      <c r="E28" s="8">
        <v>1063335</v>
      </c>
      <c r="F28" s="8">
        <f>6532+639846+116+103411+1168+157</f>
        <v>751230</v>
      </c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ht="48" hidden="1">
      <c r="A29" s="132"/>
      <c r="B29" s="19">
        <v>75414</v>
      </c>
      <c r="C29" s="7" t="s">
        <v>85</v>
      </c>
      <c r="D29" s="8">
        <v>0</v>
      </c>
      <c r="E29" s="8">
        <v>0</v>
      </c>
      <c r="F29" s="8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</row>
    <row r="30" spans="1:24" s="4" customFormat="1" ht="60" hidden="1">
      <c r="A30" s="133">
        <v>757</v>
      </c>
      <c r="B30" s="26"/>
      <c r="C30" s="15" t="s">
        <v>116</v>
      </c>
      <c r="D30" s="16">
        <v>440685</v>
      </c>
      <c r="E30" s="16">
        <v>249247</v>
      </c>
      <c r="F30" s="16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4" ht="23.25" hidden="1" customHeight="1">
      <c r="A31" s="132"/>
      <c r="B31" s="19">
        <v>75702</v>
      </c>
      <c r="C31" s="7" t="s">
        <v>117</v>
      </c>
      <c r="D31" s="8">
        <v>525430</v>
      </c>
      <c r="E31" s="8">
        <v>380834</v>
      </c>
      <c r="F31" s="8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</row>
    <row r="32" spans="1:24" ht="23.25" customHeight="1">
      <c r="A32" s="132">
        <v>750</v>
      </c>
      <c r="B32" s="19"/>
      <c r="C32" s="7"/>
      <c r="D32" s="8">
        <v>9005901.25</v>
      </c>
      <c r="E32" s="8">
        <v>3454726.98</v>
      </c>
      <c r="F32" s="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ht="23.25" customHeight="1">
      <c r="A33" s="132">
        <v>754</v>
      </c>
      <c r="B33" s="19"/>
      <c r="C33" s="7"/>
      <c r="D33" s="8">
        <v>4073112</v>
      </c>
      <c r="E33" s="8">
        <v>1519163.52</v>
      </c>
      <c r="F33" s="8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spans="1:24" ht="23.25" customHeight="1">
      <c r="A34" s="132">
        <v>757</v>
      </c>
      <c r="B34" s="19"/>
      <c r="C34" s="7"/>
      <c r="D34" s="8">
        <v>572174</v>
      </c>
      <c r="E34" s="8">
        <v>182285.9</v>
      </c>
      <c r="F34" s="8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</row>
    <row r="35" spans="1:24" s="4" customFormat="1" ht="60">
      <c r="A35" s="133">
        <v>801</v>
      </c>
      <c r="B35" s="26"/>
      <c r="C35" s="15" t="s">
        <v>60</v>
      </c>
      <c r="D35" s="16">
        <v>18938776.57</v>
      </c>
      <c r="E35" s="16">
        <v>7937368.3899999997</v>
      </c>
      <c r="F35" s="16">
        <f>SUM(F36:F43)</f>
        <v>3689871</v>
      </c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ht="72" hidden="1">
      <c r="A36" s="132"/>
      <c r="B36" s="19">
        <v>80102</v>
      </c>
      <c r="C36" s="7" t="s">
        <v>47</v>
      </c>
      <c r="D36" s="8">
        <v>505078</v>
      </c>
      <c r="E36" s="8">
        <v>331232</v>
      </c>
      <c r="F36" s="20">
        <f>196206+26135+37238+5208+450</f>
        <v>265237</v>
      </c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</row>
    <row r="37" spans="1:24" ht="48" hidden="1">
      <c r="A37" s="132"/>
      <c r="B37" s="19">
        <v>80111</v>
      </c>
      <c r="C37" s="7" t="s">
        <v>118</v>
      </c>
      <c r="D37" s="8">
        <v>475749</v>
      </c>
      <c r="E37" s="8">
        <v>298949</v>
      </c>
      <c r="F37" s="20">
        <f>E37-16937</f>
        <v>282012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</row>
    <row r="38" spans="1:24" ht="48" hidden="1">
      <c r="A38" s="132"/>
      <c r="B38" s="19">
        <v>80120</v>
      </c>
      <c r="C38" s="7" t="s">
        <v>53</v>
      </c>
      <c r="D38" s="8">
        <v>6261477</v>
      </c>
      <c r="E38" s="8">
        <f>1416382</f>
        <v>1416382</v>
      </c>
      <c r="F38" s="8">
        <f>719401+108702+140170+19592+5607</f>
        <v>993472</v>
      </c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ht="36" hidden="1">
      <c r="A39" s="132"/>
      <c r="B39" s="19">
        <v>80123</v>
      </c>
      <c r="C39" s="7" t="s">
        <v>48</v>
      </c>
      <c r="D39" s="20">
        <v>1774906</v>
      </c>
      <c r="E39" s="20">
        <v>1075369</v>
      </c>
      <c r="F39" s="20">
        <f>584273+89310+117937+15966</f>
        <v>807486</v>
      </c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</row>
    <row r="40" spans="1:24" ht="36" hidden="1">
      <c r="A40" s="132"/>
      <c r="B40" s="19">
        <v>80130</v>
      </c>
      <c r="C40" s="7" t="s">
        <v>49</v>
      </c>
      <c r="D40" s="20">
        <v>3313174</v>
      </c>
      <c r="E40" s="20">
        <v>2096781</v>
      </c>
      <c r="F40" s="20">
        <f>916626+140181+184575+25295+11296</f>
        <v>1277973</v>
      </c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</row>
    <row r="41" spans="1:24" ht="60" hidden="1">
      <c r="A41" s="132"/>
      <c r="B41" s="19">
        <v>80134</v>
      </c>
      <c r="C41" s="7" t="s">
        <v>119</v>
      </c>
      <c r="D41" s="8">
        <v>136812</v>
      </c>
      <c r="E41" s="8">
        <v>72783</v>
      </c>
      <c r="F41" s="8">
        <f>47352+5517+9525+1297</f>
        <v>63691</v>
      </c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</row>
    <row r="42" spans="1:24" ht="12.75" hidden="1" customHeight="1">
      <c r="A42" s="132"/>
      <c r="B42" s="19">
        <v>80146</v>
      </c>
      <c r="C42" s="7" t="s">
        <v>91</v>
      </c>
      <c r="D42" s="8">
        <f>54969-11722</f>
        <v>43247</v>
      </c>
      <c r="E42" s="8">
        <v>0</v>
      </c>
      <c r="F42" s="8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</row>
    <row r="43" spans="1:24" ht="48" hidden="1">
      <c r="A43" s="132"/>
      <c r="B43" s="19">
        <v>80195</v>
      </c>
      <c r="C43" s="7" t="s">
        <v>80</v>
      </c>
      <c r="D43" s="8">
        <v>64531</v>
      </c>
      <c r="E43" s="8">
        <v>48400</v>
      </c>
      <c r="F43" s="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</row>
    <row r="44" spans="1:24" ht="84" hidden="1">
      <c r="A44" s="132"/>
      <c r="B44" s="19">
        <v>80309</v>
      </c>
      <c r="C44" s="7" t="s">
        <v>129</v>
      </c>
      <c r="D44" s="8">
        <v>49764</v>
      </c>
      <c r="E44" s="8">
        <v>20016</v>
      </c>
      <c r="F44" s="8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s="4" customFormat="1" ht="13.5" customHeight="1">
      <c r="A45" s="133">
        <v>851</v>
      </c>
      <c r="B45" s="26"/>
      <c r="C45" s="21" t="s">
        <v>40</v>
      </c>
      <c r="D45" s="16">
        <v>6254174.9000000004</v>
      </c>
      <c r="E45" s="16">
        <v>1195084.1399999999</v>
      </c>
      <c r="F45" s="16">
        <f>F48+F46+F47</f>
        <v>959</v>
      </c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s="5" customFormat="1" ht="12" hidden="1" customHeight="1">
      <c r="A46" s="132"/>
      <c r="B46" s="19">
        <v>85111</v>
      </c>
      <c r="C46" s="9" t="s">
        <v>92</v>
      </c>
      <c r="D46" s="8">
        <v>344145</v>
      </c>
      <c r="E46" s="8">
        <v>44135</v>
      </c>
      <c r="F46" s="8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1:24" s="5" customFormat="1" ht="12.75" hidden="1" customHeight="1">
      <c r="A47" s="132"/>
      <c r="B47" s="19">
        <v>85154</v>
      </c>
      <c r="C47" s="9" t="s">
        <v>93</v>
      </c>
      <c r="D47" s="8">
        <v>26380</v>
      </c>
      <c r="E47" s="8">
        <v>5206</v>
      </c>
      <c r="F47" s="8">
        <v>959</v>
      </c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</row>
    <row r="48" spans="1:24" hidden="1">
      <c r="A48" s="132"/>
      <c r="B48" s="19">
        <v>85156</v>
      </c>
      <c r="C48" s="11" t="s">
        <v>94</v>
      </c>
      <c r="D48" s="8">
        <v>1168000</v>
      </c>
      <c r="E48" s="8">
        <v>433496</v>
      </c>
      <c r="F48" s="8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</row>
    <row r="49" spans="1:24" ht="48" hidden="1">
      <c r="A49" s="132"/>
      <c r="B49" s="19">
        <v>85195</v>
      </c>
      <c r="C49" s="7" t="s">
        <v>80</v>
      </c>
      <c r="D49" s="8">
        <v>2000</v>
      </c>
      <c r="E49" s="8">
        <v>0</v>
      </c>
      <c r="F49" s="8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</row>
    <row r="50" spans="1:24" s="4" customFormat="1" ht="48">
      <c r="A50" s="133">
        <v>852</v>
      </c>
      <c r="B50" s="26"/>
      <c r="C50" s="15" t="s">
        <v>41</v>
      </c>
      <c r="D50" s="16">
        <v>9336288.3599999994</v>
      </c>
      <c r="E50" s="16">
        <v>4055050.26</v>
      </c>
      <c r="F50" s="16">
        <f>F53+F56+F51+F52+F54+F57</f>
        <v>684308</v>
      </c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s="5" customFormat="1" ht="12.75" hidden="1" customHeight="1">
      <c r="A51" s="132"/>
      <c r="B51" s="19">
        <v>85201</v>
      </c>
      <c r="C51" s="7" t="s">
        <v>95</v>
      </c>
      <c r="D51" s="8">
        <v>1748865</v>
      </c>
      <c r="E51" s="8">
        <v>862369</v>
      </c>
      <c r="F51" s="8">
        <f>343035+60335+70550+10165+19956</f>
        <v>504041</v>
      </c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</row>
    <row r="52" spans="1:24" s="5" customFormat="1" ht="60" hidden="1">
      <c r="A52" s="132"/>
      <c r="B52" s="19">
        <v>85202</v>
      </c>
      <c r="C52" s="7" t="s">
        <v>96</v>
      </c>
      <c r="D52" s="8">
        <v>2496156</v>
      </c>
      <c r="E52" s="8">
        <v>1300359</v>
      </c>
      <c r="F52" s="8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1:24" ht="48" hidden="1">
      <c r="A53" s="132"/>
      <c r="B53" s="19">
        <v>85203</v>
      </c>
      <c r="C53" s="7" t="s">
        <v>97</v>
      </c>
      <c r="D53" s="8">
        <v>243003</v>
      </c>
      <c r="E53" s="20">
        <v>114960</v>
      </c>
      <c r="F53" s="20">
        <f>61257+5173+12453+1920+6180</f>
        <v>86983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</row>
    <row r="54" spans="1:24" ht="48" hidden="1">
      <c r="A54" s="132"/>
      <c r="B54" s="19">
        <v>85204</v>
      </c>
      <c r="C54" s="7" t="s">
        <v>120</v>
      </c>
      <c r="D54" s="8">
        <v>1245313</v>
      </c>
      <c r="E54" s="8">
        <v>596254</v>
      </c>
      <c r="F54" s="20">
        <f>2012+278+12897</f>
        <v>15187</v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</row>
    <row r="55" spans="1:24" ht="37.5" hidden="1" customHeight="1">
      <c r="A55" s="132"/>
      <c r="B55" s="19">
        <v>85212</v>
      </c>
      <c r="C55" s="7" t="s">
        <v>121</v>
      </c>
      <c r="D55" s="8">
        <v>12784</v>
      </c>
      <c r="E55" s="8">
        <v>6000</v>
      </c>
      <c r="F55" s="20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</row>
    <row r="56" spans="1:24" ht="12.75" hidden="1" customHeight="1">
      <c r="A56" s="132"/>
      <c r="B56" s="19">
        <v>85216</v>
      </c>
      <c r="C56" s="7" t="s">
        <v>98</v>
      </c>
      <c r="D56" s="8">
        <v>0</v>
      </c>
      <c r="E56" s="8">
        <v>0</v>
      </c>
      <c r="F56" s="8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ht="12.75" hidden="1" customHeight="1">
      <c r="A57" s="132"/>
      <c r="B57" s="19">
        <v>85218</v>
      </c>
      <c r="C57" s="7" t="s">
        <v>99</v>
      </c>
      <c r="D57" s="8">
        <v>273622</v>
      </c>
      <c r="E57" s="8">
        <v>125136</v>
      </c>
      <c r="F57" s="20">
        <f>53563+10904+10074+2006+1550</f>
        <v>78097</v>
      </c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8" spans="1:24" ht="12.75" hidden="1" customHeight="1">
      <c r="A58" s="132"/>
      <c r="B58" s="19">
        <v>85233</v>
      </c>
      <c r="C58" s="7" t="s">
        <v>91</v>
      </c>
      <c r="D58" s="8">
        <v>4015</v>
      </c>
      <c r="E58" s="8">
        <v>0</v>
      </c>
      <c r="F58" s="20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ht="12.75" hidden="1" customHeight="1">
      <c r="A59" s="132"/>
      <c r="B59" s="19">
        <v>85295</v>
      </c>
      <c r="C59" s="7" t="s">
        <v>80</v>
      </c>
      <c r="D59" s="8">
        <v>7000</v>
      </c>
      <c r="E59" s="8">
        <v>7000</v>
      </c>
      <c r="F59" s="20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</row>
    <row r="60" spans="1:24" s="4" customFormat="1" ht="108">
      <c r="A60" s="133">
        <v>853</v>
      </c>
      <c r="B60" s="26"/>
      <c r="C60" s="15" t="s">
        <v>122</v>
      </c>
      <c r="D60" s="16">
        <v>4002471.71</v>
      </c>
      <c r="E60" s="16">
        <v>2235199.25</v>
      </c>
      <c r="F60" s="16">
        <f>F61+F62</f>
        <v>419015</v>
      </c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1:24" ht="12" hidden="1" customHeight="1">
      <c r="A61" s="533"/>
      <c r="B61" s="19">
        <v>85321</v>
      </c>
      <c r="C61" s="7" t="s">
        <v>123</v>
      </c>
      <c r="D61" s="8">
        <v>71000</v>
      </c>
      <c r="E61" s="8">
        <v>32763</v>
      </c>
      <c r="F61" s="8">
        <f>12229+2910+2329+424+2484</f>
        <v>20376</v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</row>
    <row r="62" spans="1:24" ht="14.25" hidden="1" customHeight="1">
      <c r="A62" s="533"/>
      <c r="B62" s="19">
        <v>85333</v>
      </c>
      <c r="C62" s="22" t="s">
        <v>101</v>
      </c>
      <c r="D62" s="8">
        <v>873528</v>
      </c>
      <c r="E62" s="8">
        <v>451979</v>
      </c>
      <c r="F62" s="8">
        <f>280495+55514+50402+7070+5158</f>
        <v>398639</v>
      </c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1:24" ht="14.25" hidden="1" customHeight="1">
      <c r="A63" s="533"/>
      <c r="B63" s="19">
        <v>85334</v>
      </c>
      <c r="C63" s="9" t="s">
        <v>132</v>
      </c>
      <c r="D63" s="8">
        <v>55903</v>
      </c>
      <c r="E63" s="8">
        <v>55903</v>
      </c>
      <c r="F63" s="8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</row>
    <row r="64" spans="1:24" s="4" customFormat="1" ht="12.75" customHeight="1">
      <c r="A64" s="134">
        <v>854</v>
      </c>
      <c r="B64" s="26" t="s">
        <v>18</v>
      </c>
      <c r="C64" s="23" t="s">
        <v>102</v>
      </c>
      <c r="D64" s="16">
        <v>5734995.2699999996</v>
      </c>
      <c r="E64" s="16">
        <v>2224082.5499999998</v>
      </c>
      <c r="F64" s="16">
        <f>SUM(F65:F72)</f>
        <v>901223</v>
      </c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:24" ht="96" hidden="1">
      <c r="A65" s="533"/>
      <c r="B65" s="19">
        <v>85406</v>
      </c>
      <c r="C65" s="22" t="s">
        <v>50</v>
      </c>
      <c r="D65" s="8">
        <v>465439</v>
      </c>
      <c r="E65" s="8">
        <v>284568</v>
      </c>
      <c r="F65" s="20">
        <f>170636+27331+34466+5276+1881</f>
        <v>239590</v>
      </c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</row>
    <row r="66" spans="1:24" ht="12.75" hidden="1" customHeight="1">
      <c r="A66" s="533"/>
      <c r="B66" s="19">
        <v>85407</v>
      </c>
      <c r="C66" s="22" t="s">
        <v>51</v>
      </c>
      <c r="D66" s="8">
        <v>313359</v>
      </c>
      <c r="E66" s="8">
        <v>185895</v>
      </c>
      <c r="F66" s="20">
        <f>80368+12184+14222+2210+43058</f>
        <v>152042</v>
      </c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4" ht="60" hidden="1">
      <c r="A67" s="533"/>
      <c r="B67" s="19">
        <v>85410</v>
      </c>
      <c r="C67" s="22" t="s">
        <v>52</v>
      </c>
      <c r="D67" s="20">
        <v>869259</v>
      </c>
      <c r="E67" s="8">
        <v>622117</v>
      </c>
      <c r="F67" s="20">
        <f>187642+37269+50719+6507</f>
        <v>282137</v>
      </c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4" ht="33" hidden="1" customHeight="1">
      <c r="A68" s="533"/>
      <c r="B68" s="19">
        <v>85412</v>
      </c>
      <c r="C68" s="10" t="s">
        <v>133</v>
      </c>
      <c r="D68" s="20">
        <v>26</v>
      </c>
      <c r="E68" s="8"/>
      <c r="F68" s="20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4" ht="84" hidden="1">
      <c r="A69" s="533"/>
      <c r="B69" s="19">
        <v>85415</v>
      </c>
      <c r="C69" s="7" t="s">
        <v>104</v>
      </c>
      <c r="D69" s="20">
        <v>311309</v>
      </c>
      <c r="E69" s="8">
        <v>89163</v>
      </c>
      <c r="F69" s="20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4" ht="84" hidden="1">
      <c r="A70" s="533"/>
      <c r="B70" s="19">
        <v>85420</v>
      </c>
      <c r="C70" s="22" t="s">
        <v>126</v>
      </c>
      <c r="D70" s="20">
        <v>737219</v>
      </c>
      <c r="E70" s="8">
        <v>365313</v>
      </c>
      <c r="F70" s="20">
        <f>192739+2379+27686+4650</f>
        <v>227454</v>
      </c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4" ht="12" hidden="1" customHeight="1">
      <c r="A71" s="533"/>
      <c r="B71" s="19">
        <v>85446</v>
      </c>
      <c r="C71" s="7" t="s">
        <v>91</v>
      </c>
      <c r="D71" s="20">
        <v>7707</v>
      </c>
      <c r="E71" s="8">
        <v>0</v>
      </c>
      <c r="F71" s="20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4" ht="48" hidden="1">
      <c r="A72" s="533"/>
      <c r="B72" s="19">
        <v>85495</v>
      </c>
      <c r="C72" s="22" t="s">
        <v>80</v>
      </c>
      <c r="D72" s="8">
        <v>11690</v>
      </c>
      <c r="E72" s="8">
        <v>8766</v>
      </c>
      <c r="F72" s="8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4" s="4" customFormat="1" ht="108" hidden="1">
      <c r="A73" s="133">
        <v>921</v>
      </c>
      <c r="B73" s="24"/>
      <c r="C73" s="15" t="s">
        <v>124</v>
      </c>
      <c r="D73" s="16">
        <f>D74+D75</f>
        <v>0</v>
      </c>
      <c r="E73" s="16">
        <f>E74+E75</f>
        <v>0</v>
      </c>
      <c r="F73" s="16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:24" ht="84" hidden="1">
      <c r="A74" s="533"/>
      <c r="B74" s="25">
        <v>92105</v>
      </c>
      <c r="C74" s="7" t="s">
        <v>125</v>
      </c>
      <c r="D74" s="8">
        <v>0</v>
      </c>
      <c r="E74" s="8"/>
      <c r="F74" s="8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</row>
    <row r="75" spans="1:24" ht="48" hidden="1">
      <c r="A75" s="533"/>
      <c r="B75" s="25">
        <v>92195</v>
      </c>
      <c r="C75" s="7" t="s">
        <v>80</v>
      </c>
      <c r="D75" s="8">
        <v>0</v>
      </c>
      <c r="E75" s="8">
        <v>0</v>
      </c>
      <c r="F75" s="8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4" ht="30" customHeight="1">
      <c r="A76" s="133">
        <v>921</v>
      </c>
      <c r="B76" s="25"/>
      <c r="C76" s="15" t="s">
        <v>146</v>
      </c>
      <c r="D76" s="16">
        <v>216500</v>
      </c>
      <c r="E76" s="16">
        <v>39500</v>
      </c>
      <c r="F76" s="8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4" s="4" customFormat="1" ht="60">
      <c r="A77" s="133">
        <v>926</v>
      </c>
      <c r="B77" s="24"/>
      <c r="C77" s="15" t="s">
        <v>105</v>
      </c>
      <c r="D77" s="16">
        <v>2614707</v>
      </c>
      <c r="E77" s="16">
        <v>87556.51</v>
      </c>
      <c r="F77" s="16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:24" ht="96" hidden="1">
      <c r="A78" s="132"/>
      <c r="B78" s="25">
        <v>92605</v>
      </c>
      <c r="C78" s="7" t="s">
        <v>106</v>
      </c>
      <c r="D78" s="8">
        <v>51000</v>
      </c>
      <c r="E78" s="33">
        <v>25029</v>
      </c>
      <c r="F78" s="8">
        <v>0</v>
      </c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</row>
    <row r="79" spans="1:24">
      <c r="A79" s="135"/>
      <c r="D79" s="29">
        <f>D77+D76+D64+D60+D50+D45+D35+D34+D33+D32+D13+D11+D9+D8+D5+D2</f>
        <v>70458585.49000001</v>
      </c>
      <c r="E79" s="29">
        <f>E77+E76+E64+E60+E50+E45+E35+E34+E33+E32+E13+E11+E9+E8+E5+E2</f>
        <v>25005528.349999998</v>
      </c>
    </row>
    <row r="80" spans="1:24">
      <c r="A80" s="135"/>
    </row>
    <row r="81" spans="1:1">
      <c r="A81" s="135"/>
    </row>
    <row r="92" spans="1:1" ht="74.25" customHeight="1"/>
    <row r="93" spans="1:1" ht="23.25" customHeight="1"/>
    <row r="102" spans="1:6" ht="45" customHeight="1"/>
    <row r="109" spans="1:6" ht="3" customHeight="1"/>
    <row r="110" spans="1:6" ht="15" hidden="1">
      <c r="A110" s="532"/>
      <c r="B110" s="532"/>
      <c r="C110" s="532"/>
      <c r="D110" s="532"/>
      <c r="E110" s="532"/>
      <c r="F110" s="532"/>
    </row>
    <row r="111" spans="1:6" hidden="1"/>
    <row r="112" spans="1:6" hidden="1"/>
    <row r="117" ht="30.75" customHeight="1"/>
    <row r="118" hidden="1"/>
    <row r="119" hidden="1"/>
    <row r="120" hidden="1"/>
    <row r="121" hidden="1"/>
    <row r="122" hidden="1"/>
    <row r="123" hidden="1"/>
    <row r="124" hidden="1"/>
    <row r="125" hidden="1"/>
  </sheetData>
  <mergeCells count="4">
    <mergeCell ref="A110:F110"/>
    <mergeCell ref="A61:A63"/>
    <mergeCell ref="A65:A72"/>
    <mergeCell ref="A74:A75"/>
  </mergeCells>
  <phoneticPr fontId="0" type="noConversion"/>
  <pageMargins left="1.23" right="0.36458333333333331" top="0.59" bottom="0.33" header="0.36" footer="0.18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89"/>
  <sheetViews>
    <sheetView view="pageLayout" workbookViewId="0">
      <selection activeCell="G18" sqref="G18:G19"/>
    </sheetView>
  </sheetViews>
  <sheetFormatPr defaultRowHeight="12.75"/>
  <cols>
    <col min="1" max="1" width="4.85546875" style="45" customWidth="1"/>
    <col min="2" max="2" width="6.42578125" style="45" customWidth="1"/>
    <col min="3" max="3" width="7.28515625" style="45" customWidth="1"/>
    <col min="4" max="4" width="6.28515625" style="45" customWidth="1"/>
    <col min="5" max="5" width="29.5703125" style="45" customWidth="1"/>
    <col min="6" max="6" width="11.85546875" style="45" customWidth="1"/>
    <col min="7" max="7" width="12.140625" style="45" customWidth="1"/>
    <col min="8" max="16384" width="9.140625" style="45"/>
  </cols>
  <sheetData>
    <row r="1" spans="1:9">
      <c r="G1" s="535" t="s">
        <v>380</v>
      </c>
      <c r="H1" s="535"/>
    </row>
    <row r="4" spans="1:9" ht="15.75" customHeight="1">
      <c r="A4" s="534" t="s">
        <v>220</v>
      </c>
      <c r="B4" s="534"/>
      <c r="C4" s="534"/>
      <c r="D4" s="534"/>
      <c r="E4" s="534"/>
      <c r="F4" s="534"/>
      <c r="G4" s="534"/>
      <c r="H4" s="534"/>
    </row>
    <row r="5" spans="1:9" ht="15.75" customHeight="1">
      <c r="A5" s="534" t="s">
        <v>221</v>
      </c>
      <c r="B5" s="534"/>
      <c r="C5" s="534"/>
      <c r="D5" s="534"/>
      <c r="E5" s="534"/>
      <c r="F5" s="534"/>
      <c r="G5" s="534"/>
      <c r="H5" s="534"/>
    </row>
    <row r="6" spans="1:9" ht="15.75" customHeight="1">
      <c r="A6" s="534" t="s">
        <v>306</v>
      </c>
      <c r="B6" s="534"/>
      <c r="C6" s="534"/>
      <c r="D6" s="534"/>
      <c r="E6" s="534"/>
      <c r="F6" s="534"/>
      <c r="G6" s="534"/>
      <c r="H6" s="534"/>
    </row>
    <row r="7" spans="1:9" ht="15.75">
      <c r="A7" s="159"/>
      <c r="B7" s="159"/>
      <c r="C7" s="159"/>
      <c r="D7" s="159"/>
      <c r="E7" s="160"/>
      <c r="F7" s="141"/>
    </row>
    <row r="8" spans="1:9" ht="15.75" customHeight="1">
      <c r="A8" s="413"/>
      <c r="B8" s="413"/>
      <c r="C8" s="413"/>
      <c r="D8" s="413"/>
      <c r="E8" s="413"/>
      <c r="G8" s="414" t="s">
        <v>184</v>
      </c>
    </row>
    <row r="9" spans="1:9" ht="25.5">
      <c r="A9" s="418" t="s">
        <v>217</v>
      </c>
      <c r="B9" s="418" t="s">
        <v>0</v>
      </c>
      <c r="C9" s="418" t="s">
        <v>8</v>
      </c>
      <c r="D9" s="418" t="s">
        <v>69</v>
      </c>
      <c r="E9" s="418" t="s">
        <v>360</v>
      </c>
      <c r="F9" s="419" t="s">
        <v>379</v>
      </c>
      <c r="G9" s="420" t="s">
        <v>378</v>
      </c>
      <c r="H9" s="420" t="s">
        <v>144</v>
      </c>
    </row>
    <row r="10" spans="1:9">
      <c r="A10" s="415">
        <v>1</v>
      </c>
      <c r="B10" s="415">
        <v>2</v>
      </c>
      <c r="C10" s="415">
        <v>3</v>
      </c>
      <c r="D10" s="415">
        <v>4</v>
      </c>
      <c r="E10" s="415">
        <v>5</v>
      </c>
      <c r="F10" s="415">
        <v>6</v>
      </c>
      <c r="G10" s="415">
        <v>7</v>
      </c>
      <c r="H10" s="415">
        <v>8</v>
      </c>
    </row>
    <row r="11" spans="1:9" ht="27" customHeight="1">
      <c r="A11" s="416">
        <v>1</v>
      </c>
      <c r="B11" s="416">
        <v>801</v>
      </c>
      <c r="C11" s="416">
        <v>80120</v>
      </c>
      <c r="D11" s="416">
        <v>2540</v>
      </c>
      <c r="E11" s="417" t="s">
        <v>361</v>
      </c>
      <c r="F11" s="422">
        <v>54685</v>
      </c>
      <c r="G11" s="421">
        <v>25540.799999999999</v>
      </c>
      <c r="H11" s="53">
        <f>G11/F11*100</f>
        <v>46.705312242845388</v>
      </c>
      <c r="I11" s="267"/>
    </row>
    <row r="12" spans="1:9" ht="26.25" customHeight="1">
      <c r="A12" s="416">
        <v>2</v>
      </c>
      <c r="B12" s="416">
        <v>801</v>
      </c>
      <c r="C12" s="416">
        <v>80120</v>
      </c>
      <c r="D12" s="416">
        <v>2540</v>
      </c>
      <c r="E12" s="417" t="s">
        <v>362</v>
      </c>
      <c r="F12" s="422">
        <v>5000</v>
      </c>
      <c r="G12" s="421">
        <v>0</v>
      </c>
      <c r="H12" s="53">
        <f t="shared" ref="H12:H26" si="0">G12/F12*100</f>
        <v>0</v>
      </c>
    </row>
    <row r="13" spans="1:9" ht="27" customHeight="1">
      <c r="A13" s="416">
        <v>3</v>
      </c>
      <c r="B13" s="416">
        <v>801</v>
      </c>
      <c r="C13" s="416">
        <v>80120</v>
      </c>
      <c r="D13" s="416">
        <v>2540</v>
      </c>
      <c r="E13" s="417" t="s">
        <v>363</v>
      </c>
      <c r="F13" s="422">
        <v>184500</v>
      </c>
      <c r="G13" s="421">
        <v>91103.13</v>
      </c>
      <c r="H13" s="53">
        <f t="shared" si="0"/>
        <v>49.378390243902444</v>
      </c>
    </row>
    <row r="14" spans="1:9" s="267" customFormat="1" ht="24.75" customHeight="1">
      <c r="A14" s="416">
        <v>4</v>
      </c>
      <c r="B14" s="416">
        <v>801</v>
      </c>
      <c r="C14" s="416">
        <v>80120</v>
      </c>
      <c r="D14" s="416">
        <v>2540</v>
      </c>
      <c r="E14" s="417" t="s">
        <v>364</v>
      </c>
      <c r="F14" s="422">
        <v>211756</v>
      </c>
      <c r="G14" s="421">
        <v>96842.2</v>
      </c>
      <c r="H14" s="53">
        <f t="shared" si="0"/>
        <v>45.732919020004154</v>
      </c>
      <c r="I14" s="45"/>
    </row>
    <row r="15" spans="1:9" ht="25.5" customHeight="1">
      <c r="A15" s="416">
        <v>5</v>
      </c>
      <c r="B15" s="416">
        <v>801</v>
      </c>
      <c r="C15" s="416">
        <v>80120</v>
      </c>
      <c r="D15" s="416">
        <v>2540</v>
      </c>
      <c r="E15" s="417" t="s">
        <v>365</v>
      </c>
      <c r="F15" s="422">
        <v>137259</v>
      </c>
      <c r="G15" s="421">
        <v>60784.6</v>
      </c>
      <c r="H15" s="53">
        <f t="shared" si="0"/>
        <v>44.284600645495011</v>
      </c>
    </row>
    <row r="16" spans="1:9" ht="25.5">
      <c r="A16" s="416">
        <v>6</v>
      </c>
      <c r="B16" s="416">
        <v>801</v>
      </c>
      <c r="C16" s="416">
        <v>80123</v>
      </c>
      <c r="D16" s="416">
        <v>2540</v>
      </c>
      <c r="E16" s="417" t="s">
        <v>366</v>
      </c>
      <c r="F16" s="422">
        <v>158311</v>
      </c>
      <c r="G16" s="421">
        <v>73133.899999999994</v>
      </c>
      <c r="H16" s="53">
        <f t="shared" si="0"/>
        <v>46.19634769535913</v>
      </c>
      <c r="I16" s="267"/>
    </row>
    <row r="17" spans="1:9" ht="25.5">
      <c r="A17" s="416">
        <v>7</v>
      </c>
      <c r="B17" s="416">
        <v>801</v>
      </c>
      <c r="C17" s="416">
        <v>80123</v>
      </c>
      <c r="D17" s="416">
        <v>2540</v>
      </c>
      <c r="E17" s="417" t="s">
        <v>182</v>
      </c>
      <c r="F17" s="422">
        <v>195689</v>
      </c>
      <c r="G17" s="421">
        <v>97403.54</v>
      </c>
      <c r="H17" s="53">
        <f t="shared" si="0"/>
        <v>49.774662857902072</v>
      </c>
      <c r="I17" s="270"/>
    </row>
    <row r="18" spans="1:9">
      <c r="A18" s="416">
        <v>8</v>
      </c>
      <c r="B18" s="416">
        <v>801</v>
      </c>
      <c r="C18" s="416">
        <v>80130</v>
      </c>
      <c r="D18" s="416">
        <v>2540</v>
      </c>
      <c r="E18" s="417" t="s">
        <v>181</v>
      </c>
      <c r="F18" s="422">
        <v>122420</v>
      </c>
      <c r="G18" s="421">
        <v>61502</v>
      </c>
      <c r="H18" s="53">
        <f t="shared" si="0"/>
        <v>50.238523117137724</v>
      </c>
    </row>
    <row r="19" spans="1:9" s="267" customFormat="1" ht="25.5">
      <c r="A19" s="416">
        <v>9</v>
      </c>
      <c r="B19" s="416">
        <v>801</v>
      </c>
      <c r="C19" s="416">
        <v>80130</v>
      </c>
      <c r="D19" s="416">
        <v>2540</v>
      </c>
      <c r="E19" s="417" t="s">
        <v>183</v>
      </c>
      <c r="F19" s="422">
        <v>202680</v>
      </c>
      <c r="G19" s="421">
        <v>94793.3</v>
      </c>
      <c r="H19" s="53">
        <f t="shared" si="0"/>
        <v>46.769932899151371</v>
      </c>
      <c r="I19" s="45"/>
    </row>
    <row r="20" spans="1:9" s="270" customFormat="1" ht="38.25">
      <c r="A20" s="416">
        <v>10</v>
      </c>
      <c r="B20" s="416">
        <v>801</v>
      </c>
      <c r="C20" s="416">
        <v>80144</v>
      </c>
      <c r="D20" s="416">
        <v>2540</v>
      </c>
      <c r="E20" s="417" t="s">
        <v>274</v>
      </c>
      <c r="F20" s="422">
        <v>255000</v>
      </c>
      <c r="G20" s="421">
        <v>127300.44</v>
      </c>
      <c r="H20" s="53">
        <f t="shared" si="0"/>
        <v>49.92174117647059</v>
      </c>
      <c r="I20" s="141"/>
    </row>
    <row r="21" spans="1:9" ht="27.75" customHeight="1">
      <c r="A21" s="416">
        <v>11</v>
      </c>
      <c r="B21" s="416">
        <v>854</v>
      </c>
      <c r="C21" s="416">
        <v>85419</v>
      </c>
      <c r="D21" s="416">
        <v>2540</v>
      </c>
      <c r="E21" s="417" t="s">
        <v>219</v>
      </c>
      <c r="F21" s="422">
        <v>1188315</v>
      </c>
      <c r="G21" s="421">
        <v>585927.93999999994</v>
      </c>
      <c r="H21" s="53">
        <f t="shared" si="0"/>
        <v>49.307459722380003</v>
      </c>
      <c r="I21" s="141"/>
    </row>
    <row r="22" spans="1:9" ht="25.5">
      <c r="A22" s="416">
        <v>12</v>
      </c>
      <c r="B22" s="416">
        <v>853</v>
      </c>
      <c r="C22" s="416">
        <v>85311</v>
      </c>
      <c r="D22" s="416">
        <v>2580</v>
      </c>
      <c r="E22" s="417" t="s">
        <v>218</v>
      </c>
      <c r="F22" s="422">
        <v>43520</v>
      </c>
      <c r="G22" s="421">
        <v>43520</v>
      </c>
      <c r="H22" s="53">
        <f t="shared" si="0"/>
        <v>100</v>
      </c>
    </row>
    <row r="23" spans="1:9" s="141" customFormat="1" ht="63.75">
      <c r="A23" s="416">
        <v>13</v>
      </c>
      <c r="B23" s="416">
        <v>921</v>
      </c>
      <c r="C23" s="416">
        <v>92195</v>
      </c>
      <c r="D23" s="416">
        <v>2580</v>
      </c>
      <c r="E23" s="417" t="s">
        <v>367</v>
      </c>
      <c r="F23" s="422">
        <v>70000</v>
      </c>
      <c r="G23" s="421">
        <v>0</v>
      </c>
      <c r="H23" s="53">
        <f t="shared" si="0"/>
        <v>0</v>
      </c>
      <c r="I23" s="45"/>
    </row>
    <row r="24" spans="1:9" s="141" customFormat="1" ht="25.5">
      <c r="A24" s="416">
        <v>14</v>
      </c>
      <c r="B24" s="416">
        <v>926</v>
      </c>
      <c r="C24" s="416">
        <v>92695</v>
      </c>
      <c r="D24" s="416">
        <v>2580</v>
      </c>
      <c r="E24" s="417" t="s">
        <v>368</v>
      </c>
      <c r="F24" s="422">
        <v>30000</v>
      </c>
      <c r="G24" s="421">
        <v>30000</v>
      </c>
      <c r="H24" s="53">
        <f t="shared" si="0"/>
        <v>100</v>
      </c>
      <c r="I24" s="45"/>
    </row>
    <row r="25" spans="1:9" s="361" customFormat="1">
      <c r="A25" s="416">
        <v>15</v>
      </c>
      <c r="B25" s="416">
        <v>851</v>
      </c>
      <c r="C25" s="416">
        <v>85111</v>
      </c>
      <c r="D25" s="416">
        <v>2560</v>
      </c>
      <c r="E25" s="417" t="s">
        <v>383</v>
      </c>
      <c r="F25" s="422">
        <v>25000</v>
      </c>
      <c r="G25" s="421">
        <v>25000</v>
      </c>
      <c r="H25" s="53">
        <f t="shared" si="0"/>
        <v>100</v>
      </c>
    </row>
    <row r="26" spans="1:9">
      <c r="A26" s="536" t="s">
        <v>179</v>
      </c>
      <c r="B26" s="536"/>
      <c r="C26" s="536"/>
      <c r="D26" s="536"/>
      <c r="E26" s="536"/>
      <c r="F26" s="423">
        <f>SUM(F11:F25)</f>
        <v>2884135</v>
      </c>
      <c r="G26" s="424">
        <f>SUM(G11:G25)</f>
        <v>1412851.8499999999</v>
      </c>
      <c r="H26" s="165">
        <f t="shared" si="0"/>
        <v>48.987022105414617</v>
      </c>
    </row>
    <row r="27" spans="1:9" ht="15">
      <c r="A27" s="411"/>
      <c r="B27"/>
      <c r="C27"/>
      <c r="D27"/>
      <c r="E27"/>
      <c r="F27"/>
    </row>
    <row r="28" spans="1:9" ht="15">
      <c r="A28" s="411"/>
      <c r="B28"/>
      <c r="C28"/>
      <c r="D28"/>
      <c r="E28"/>
      <c r="F28"/>
    </row>
    <row r="29" spans="1:9" ht="15">
      <c r="A29" s="411"/>
      <c r="B29"/>
      <c r="C29"/>
      <c r="D29"/>
      <c r="E29"/>
      <c r="F29"/>
    </row>
    <row r="30" spans="1:9" ht="15">
      <c r="A30" s="411"/>
      <c r="B30"/>
      <c r="C30"/>
      <c r="D30"/>
      <c r="E30"/>
      <c r="F30"/>
    </row>
    <row r="31" spans="1:9" ht="15">
      <c r="A31" s="411"/>
      <c r="B31"/>
      <c r="C31"/>
      <c r="D31"/>
      <c r="E31"/>
      <c r="F31"/>
    </row>
    <row r="32" spans="1:9" ht="15">
      <c r="A32" s="411"/>
      <c r="B32"/>
      <c r="C32"/>
      <c r="D32"/>
      <c r="E32"/>
      <c r="F32"/>
    </row>
    <row r="33" spans="1:6" ht="15">
      <c r="A33" s="411"/>
      <c r="B33"/>
      <c r="C33"/>
      <c r="D33"/>
      <c r="E33"/>
      <c r="F33"/>
    </row>
    <row r="34" spans="1:6" ht="15">
      <c r="A34" s="411"/>
      <c r="B34"/>
      <c r="C34"/>
      <c r="D34"/>
      <c r="E34"/>
      <c r="F34"/>
    </row>
    <row r="35" spans="1:6" ht="15">
      <c r="A35" s="411"/>
      <c r="B35"/>
      <c r="C35"/>
      <c r="D35"/>
      <c r="E35"/>
      <c r="F35"/>
    </row>
    <row r="36" spans="1:6" ht="15">
      <c r="A36" s="411"/>
      <c r="B36"/>
      <c r="C36"/>
      <c r="D36"/>
      <c r="E36"/>
      <c r="F36"/>
    </row>
    <row r="37" spans="1:6" ht="15">
      <c r="A37" s="411"/>
      <c r="B37"/>
      <c r="C37"/>
      <c r="D37"/>
      <c r="E37"/>
      <c r="F37"/>
    </row>
    <row r="38" spans="1:6" ht="15">
      <c r="A38" s="411"/>
      <c r="B38"/>
      <c r="C38"/>
      <c r="D38"/>
      <c r="E38"/>
      <c r="F38"/>
    </row>
    <row r="39" spans="1:6" ht="15">
      <c r="A39" s="411"/>
      <c r="B39"/>
      <c r="C39"/>
      <c r="D39"/>
      <c r="E39"/>
      <c r="F39"/>
    </row>
    <row r="40" spans="1:6">
      <c r="F40"/>
    </row>
    <row r="41" spans="1:6">
      <c r="F41"/>
    </row>
    <row r="42" spans="1:6">
      <c r="F42"/>
    </row>
    <row r="43" spans="1:6">
      <c r="F43"/>
    </row>
    <row r="44" spans="1:6">
      <c r="F44"/>
    </row>
    <row r="45" spans="1:6">
      <c r="F45"/>
    </row>
    <row r="46" spans="1:6">
      <c r="F46"/>
    </row>
    <row r="47" spans="1:6">
      <c r="F47"/>
    </row>
    <row r="48" spans="1:6">
      <c r="F48"/>
    </row>
    <row r="49" spans="1:6">
      <c r="F49"/>
    </row>
    <row r="50" spans="1:6">
      <c r="F50"/>
    </row>
    <row r="51" spans="1:6">
      <c r="F51"/>
    </row>
    <row r="52" spans="1:6" ht="15.75" customHeight="1">
      <c r="F52"/>
    </row>
    <row r="53" spans="1:6" ht="15.75" customHeight="1">
      <c r="F53"/>
    </row>
    <row r="54" spans="1:6">
      <c r="F54"/>
    </row>
    <row r="55" spans="1:6">
      <c r="F55"/>
    </row>
    <row r="56" spans="1:6">
      <c r="F56"/>
    </row>
    <row r="57" spans="1:6" ht="15">
      <c r="A57" s="411"/>
      <c r="B57"/>
      <c r="C57"/>
      <c r="D57"/>
      <c r="E57"/>
      <c r="F57"/>
    </row>
    <row r="58" spans="1:6" ht="15">
      <c r="A58" s="411"/>
      <c r="B58"/>
      <c r="C58"/>
      <c r="D58"/>
      <c r="E58"/>
      <c r="F58"/>
    </row>
    <row r="59" spans="1:6" ht="15">
      <c r="A59" s="411"/>
      <c r="B59"/>
      <c r="C59"/>
      <c r="D59"/>
      <c r="E59"/>
      <c r="F59"/>
    </row>
    <row r="60" spans="1:6" ht="15">
      <c r="A60" s="411"/>
      <c r="B60"/>
      <c r="C60"/>
      <c r="D60"/>
      <c r="E60"/>
      <c r="F60"/>
    </row>
    <row r="61" spans="1:6" ht="15">
      <c r="A61" s="411"/>
      <c r="B61"/>
      <c r="C61"/>
      <c r="D61"/>
      <c r="E61"/>
      <c r="F61"/>
    </row>
    <row r="62" spans="1:6" ht="15">
      <c r="A62" s="411"/>
      <c r="B62"/>
      <c r="C62"/>
      <c r="D62"/>
      <c r="E62"/>
      <c r="F62"/>
    </row>
    <row r="63" spans="1:6" ht="15">
      <c r="A63" s="411"/>
      <c r="B63"/>
      <c r="C63"/>
      <c r="D63"/>
      <c r="E63"/>
      <c r="F63"/>
    </row>
    <row r="64" spans="1:6" ht="15">
      <c r="A64" s="411"/>
      <c r="B64"/>
      <c r="C64"/>
      <c r="D64"/>
      <c r="E64"/>
      <c r="F64"/>
    </row>
    <row r="65" spans="1:6" ht="15">
      <c r="A65" s="411"/>
      <c r="B65"/>
      <c r="C65"/>
      <c r="D65"/>
      <c r="E65"/>
      <c r="F65"/>
    </row>
    <row r="66" spans="1:6" ht="15">
      <c r="A66" s="411"/>
      <c r="B66"/>
      <c r="C66"/>
      <c r="D66"/>
      <c r="E66"/>
      <c r="F66"/>
    </row>
    <row r="67" spans="1:6" ht="15">
      <c r="A67" s="411"/>
      <c r="B67"/>
      <c r="C67"/>
      <c r="D67"/>
      <c r="E67"/>
      <c r="F67"/>
    </row>
    <row r="68" spans="1:6" ht="15">
      <c r="A68" s="411"/>
      <c r="B68"/>
      <c r="C68"/>
      <c r="D68"/>
      <c r="E68"/>
      <c r="F68"/>
    </row>
    <row r="69" spans="1:6" ht="15">
      <c r="A69" s="411"/>
      <c r="B69"/>
      <c r="C69"/>
      <c r="D69"/>
      <c r="E69"/>
      <c r="F69"/>
    </row>
    <row r="70" spans="1:6" ht="15">
      <c r="A70" s="411"/>
      <c r="B70"/>
      <c r="C70"/>
      <c r="D70"/>
      <c r="E70"/>
      <c r="F70"/>
    </row>
    <row r="71" spans="1:6" ht="15">
      <c r="A71" s="411"/>
      <c r="B71"/>
      <c r="C71"/>
      <c r="D71"/>
      <c r="E71"/>
      <c r="F71"/>
    </row>
    <row r="72" spans="1:6" ht="15">
      <c r="A72" s="411"/>
      <c r="B72"/>
      <c r="C72"/>
      <c r="D72"/>
      <c r="E72"/>
      <c r="F72"/>
    </row>
    <row r="73" spans="1:6" ht="15">
      <c r="A73" s="411"/>
      <c r="B73"/>
      <c r="C73"/>
      <c r="D73"/>
      <c r="E73"/>
      <c r="F73"/>
    </row>
    <row r="87" ht="15.75" customHeight="1"/>
    <row r="88" ht="15.75" customHeight="1"/>
    <row r="89" ht="15.75" customHeight="1"/>
  </sheetData>
  <mergeCells count="5">
    <mergeCell ref="A4:H4"/>
    <mergeCell ref="A5:H5"/>
    <mergeCell ref="A6:H6"/>
    <mergeCell ref="G1:H1"/>
    <mergeCell ref="A26:E26"/>
  </mergeCells>
  <pageMargins left="0.7" right="0.32" top="0.75" bottom="0.75" header="0.3" footer="0.3"/>
  <pageSetup paperSize="9" orientation="portrait" r:id="rId1"/>
  <headerFooter>
    <oddFooter>&amp;C&amp;"Times New (W1),Normalny"Tabela Nr 5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H59"/>
  <sheetViews>
    <sheetView view="pageLayout" workbookViewId="0">
      <selection activeCell="A6" sqref="A6:H6"/>
    </sheetView>
  </sheetViews>
  <sheetFormatPr defaultRowHeight="12.75"/>
  <cols>
    <col min="1" max="1" width="3.85546875" style="45" customWidth="1"/>
    <col min="2" max="2" width="5.28515625" style="45" customWidth="1"/>
    <col min="3" max="3" width="6.28515625" style="45" customWidth="1"/>
    <col min="4" max="4" width="5.28515625" style="45" customWidth="1"/>
    <col min="5" max="5" width="31.140625" style="45" customWidth="1"/>
    <col min="6" max="6" width="12" style="45" customWidth="1"/>
    <col min="7" max="7" width="14.42578125" style="45" customWidth="1"/>
    <col min="8" max="8" width="6.85546875" style="45" customWidth="1"/>
    <col min="9" max="16384" width="9.140625" style="45"/>
  </cols>
  <sheetData>
    <row r="1" spans="1:8" ht="15.75" customHeight="1">
      <c r="G1" s="535" t="s">
        <v>382</v>
      </c>
      <c r="H1" s="535"/>
    </row>
    <row r="2" spans="1:8" ht="15.75" customHeight="1">
      <c r="A2" s="542"/>
      <c r="B2" s="542"/>
      <c r="C2" s="542"/>
      <c r="D2" s="542"/>
      <c r="E2" s="542"/>
      <c r="F2" s="542"/>
    </row>
    <row r="3" spans="1:8" ht="15.75" customHeight="1">
      <c r="A3" s="541" t="s">
        <v>369</v>
      </c>
      <c r="B3" s="541"/>
      <c r="C3" s="541"/>
      <c r="D3" s="541"/>
      <c r="E3" s="541"/>
      <c r="F3" s="541"/>
      <c r="G3" s="541"/>
      <c r="H3" s="541"/>
    </row>
    <row r="4" spans="1:8" ht="15.75" customHeight="1">
      <c r="A4" s="541" t="s">
        <v>222</v>
      </c>
      <c r="B4" s="541"/>
      <c r="C4" s="541"/>
      <c r="D4" s="541"/>
      <c r="E4" s="541"/>
      <c r="F4" s="541"/>
      <c r="G4" s="541"/>
      <c r="H4" s="541"/>
    </row>
    <row r="5" spans="1:8" ht="15.75" customHeight="1">
      <c r="A5" s="541" t="s">
        <v>225</v>
      </c>
      <c r="B5" s="541"/>
      <c r="C5" s="541"/>
      <c r="D5" s="541"/>
      <c r="E5" s="541"/>
      <c r="F5" s="541"/>
      <c r="G5" s="541"/>
      <c r="H5" s="541"/>
    </row>
    <row r="6" spans="1:8" s="141" customFormat="1" ht="15.75" customHeight="1">
      <c r="A6" s="541" t="s">
        <v>384</v>
      </c>
      <c r="B6" s="541"/>
      <c r="C6" s="541"/>
      <c r="D6" s="541"/>
      <c r="E6" s="541"/>
      <c r="F6" s="541"/>
      <c r="G6" s="541"/>
      <c r="H6" s="541"/>
    </row>
    <row r="7" spans="1:8" ht="15">
      <c r="A7" s="413"/>
      <c r="B7" s="413"/>
      <c r="C7" s="413"/>
      <c r="D7" s="413"/>
      <c r="E7" s="413"/>
      <c r="G7" s="414" t="s">
        <v>184</v>
      </c>
    </row>
    <row r="8" spans="1:8" ht="25.5">
      <c r="A8" s="418" t="s">
        <v>217</v>
      </c>
      <c r="B8" s="418" t="s">
        <v>0</v>
      </c>
      <c r="C8" s="418" t="s">
        <v>8</v>
      </c>
      <c r="D8" s="418" t="s">
        <v>69</v>
      </c>
      <c r="E8" s="418" t="s">
        <v>223</v>
      </c>
      <c r="F8" s="419" t="s">
        <v>379</v>
      </c>
      <c r="G8" s="420" t="s">
        <v>378</v>
      </c>
      <c r="H8" s="425" t="s">
        <v>144</v>
      </c>
    </row>
    <row r="9" spans="1:8">
      <c r="A9" s="426">
        <v>1</v>
      </c>
      <c r="B9" s="426">
        <v>2</v>
      </c>
      <c r="C9" s="426">
        <v>3</v>
      </c>
      <c r="D9" s="426">
        <v>4</v>
      </c>
      <c r="E9" s="426">
        <v>5</v>
      </c>
      <c r="F9" s="426">
        <v>6</v>
      </c>
      <c r="G9" s="426">
        <v>7</v>
      </c>
      <c r="H9" s="164">
        <v>8</v>
      </c>
    </row>
    <row r="10" spans="1:8" ht="53.25" customHeight="1">
      <c r="A10" s="437">
        <v>1</v>
      </c>
      <c r="B10" s="437">
        <v>852</v>
      </c>
      <c r="C10" s="437">
        <v>85201</v>
      </c>
      <c r="D10" s="437">
        <v>2320</v>
      </c>
      <c r="E10" s="417" t="s">
        <v>381</v>
      </c>
      <c r="F10" s="422">
        <v>109558.63</v>
      </c>
      <c r="G10" s="421">
        <v>48630.19</v>
      </c>
      <c r="H10" s="53">
        <f>G10/F10*100</f>
        <v>44.387365924528268</v>
      </c>
    </row>
    <row r="11" spans="1:8" ht="51">
      <c r="A11" s="437">
        <v>2</v>
      </c>
      <c r="B11" s="437">
        <v>852</v>
      </c>
      <c r="C11" s="437">
        <v>85204</v>
      </c>
      <c r="D11" s="437">
        <v>2320</v>
      </c>
      <c r="E11" s="417" t="s">
        <v>224</v>
      </c>
      <c r="F11" s="422">
        <v>122186.9</v>
      </c>
      <c r="G11" s="421">
        <v>61793.97</v>
      </c>
      <c r="H11" s="53">
        <f t="shared" ref="H11:H19" si="0">G11/F11*100</f>
        <v>50.573318416295045</v>
      </c>
    </row>
    <row r="12" spans="1:8" ht="25.5">
      <c r="A12" s="437">
        <v>3</v>
      </c>
      <c r="B12" s="437">
        <v>853</v>
      </c>
      <c r="C12" s="437">
        <v>85311</v>
      </c>
      <c r="D12" s="437">
        <v>2310</v>
      </c>
      <c r="E12" s="417" t="s">
        <v>370</v>
      </c>
      <c r="F12" s="422">
        <v>43520</v>
      </c>
      <c r="G12" s="421">
        <v>43520</v>
      </c>
      <c r="H12" s="53">
        <f t="shared" si="0"/>
        <v>100</v>
      </c>
    </row>
    <row r="13" spans="1:8">
      <c r="A13" s="437">
        <v>4</v>
      </c>
      <c r="B13" s="437">
        <v>921</v>
      </c>
      <c r="C13" s="437">
        <v>92116</v>
      </c>
      <c r="D13" s="437">
        <v>2310</v>
      </c>
      <c r="E13" s="417" t="s">
        <v>371</v>
      </c>
      <c r="F13" s="422">
        <v>86500</v>
      </c>
      <c r="G13" s="421">
        <v>28000</v>
      </c>
      <c r="H13" s="53">
        <f t="shared" si="0"/>
        <v>32.369942196531795</v>
      </c>
    </row>
    <row r="14" spans="1:8" ht="25.5">
      <c r="A14" s="437">
        <v>5</v>
      </c>
      <c r="B14" s="437">
        <v>921</v>
      </c>
      <c r="C14" s="437">
        <v>92105</v>
      </c>
      <c r="D14" s="437">
        <v>2310</v>
      </c>
      <c r="E14" s="417" t="s">
        <v>372</v>
      </c>
      <c r="F14" s="422">
        <v>28500</v>
      </c>
      <c r="G14" s="421">
        <v>11500</v>
      </c>
      <c r="H14" s="53">
        <f t="shared" si="0"/>
        <v>40.350877192982452</v>
      </c>
    </row>
    <row r="15" spans="1:8">
      <c r="A15" s="543">
        <v>6</v>
      </c>
      <c r="B15" s="543">
        <v>853</v>
      </c>
      <c r="C15" s="543">
        <v>85395</v>
      </c>
      <c r="D15" s="544" t="s">
        <v>373</v>
      </c>
      <c r="E15" s="417" t="s">
        <v>374</v>
      </c>
      <c r="F15" s="422">
        <v>256070.7</v>
      </c>
      <c r="G15" s="421">
        <v>256070.7</v>
      </c>
      <c r="H15" s="53">
        <f t="shared" si="0"/>
        <v>100</v>
      </c>
    </row>
    <row r="16" spans="1:8">
      <c r="A16" s="543"/>
      <c r="B16" s="543"/>
      <c r="C16" s="543"/>
      <c r="D16" s="544"/>
      <c r="E16" s="417" t="s">
        <v>375</v>
      </c>
      <c r="F16" s="422">
        <v>164951.1</v>
      </c>
      <c r="G16" s="421">
        <v>164951.1</v>
      </c>
      <c r="H16" s="53">
        <f t="shared" si="0"/>
        <v>100</v>
      </c>
    </row>
    <row r="17" spans="1:8">
      <c r="A17" s="543"/>
      <c r="B17" s="543"/>
      <c r="C17" s="543"/>
      <c r="D17" s="544"/>
      <c r="E17" s="417" t="s">
        <v>376</v>
      </c>
      <c r="F17" s="422">
        <v>179436.6</v>
      </c>
      <c r="G17" s="421">
        <v>179436.6</v>
      </c>
      <c r="H17" s="53">
        <f t="shared" si="0"/>
        <v>100</v>
      </c>
    </row>
    <row r="18" spans="1:8">
      <c r="A18" s="543"/>
      <c r="B18" s="543"/>
      <c r="C18" s="543"/>
      <c r="D18" s="544"/>
      <c r="E18" s="417" t="s">
        <v>377</v>
      </c>
      <c r="F18" s="422">
        <v>193396.5</v>
      </c>
      <c r="G18" s="421">
        <v>193396.5</v>
      </c>
      <c r="H18" s="53">
        <f t="shared" si="0"/>
        <v>100</v>
      </c>
    </row>
    <row r="19" spans="1:8">
      <c r="A19" s="536" t="s">
        <v>179</v>
      </c>
      <c r="B19" s="536"/>
      <c r="C19" s="536"/>
      <c r="D19" s="536"/>
      <c r="E19" s="536"/>
      <c r="F19" s="423">
        <f>SUM(F10:F18)</f>
        <v>1184120.43</v>
      </c>
      <c r="G19" s="424">
        <f>SUM(G10:G18)</f>
        <v>987299.05999999994</v>
      </c>
      <c r="H19" s="165">
        <f t="shared" si="0"/>
        <v>83.378264151729908</v>
      </c>
    </row>
    <row r="21" spans="1:8">
      <c r="A21" s="42"/>
      <c r="B21" s="42"/>
      <c r="C21" s="42"/>
      <c r="D21" s="42"/>
      <c r="E21" s="42"/>
      <c r="G21" s="545" t="s">
        <v>393</v>
      </c>
      <c r="H21" s="545"/>
    </row>
    <row r="22" spans="1:8" ht="15.75" customHeight="1">
      <c r="A22" s="540" t="s">
        <v>388</v>
      </c>
      <c r="B22" s="540"/>
      <c r="C22" s="540"/>
      <c r="D22" s="540"/>
      <c r="E22" s="540"/>
      <c r="F22" s="540"/>
      <c r="G22" s="540"/>
      <c r="H22" s="540"/>
    </row>
    <row r="23" spans="1:8" ht="15.75" customHeight="1">
      <c r="A23" s="540" t="s">
        <v>389</v>
      </c>
      <c r="B23" s="540"/>
      <c r="C23" s="540"/>
      <c r="D23" s="540"/>
      <c r="E23" s="540"/>
      <c r="F23" s="540"/>
      <c r="G23" s="540"/>
      <c r="H23" s="540"/>
    </row>
    <row r="24" spans="1:8" ht="15.75" customHeight="1">
      <c r="A24" s="540" t="s">
        <v>222</v>
      </c>
      <c r="B24" s="540"/>
      <c r="C24" s="540"/>
      <c r="D24" s="540"/>
      <c r="E24" s="540"/>
      <c r="F24" s="540"/>
      <c r="G24" s="540"/>
      <c r="H24" s="540"/>
    </row>
    <row r="25" spans="1:8" ht="15.75" customHeight="1">
      <c r="A25" s="540" t="s">
        <v>403</v>
      </c>
      <c r="B25" s="540"/>
      <c r="C25" s="540"/>
      <c r="D25" s="540"/>
      <c r="E25" s="540"/>
      <c r="F25" s="540"/>
      <c r="G25" s="540"/>
      <c r="H25" s="540"/>
    </row>
    <row r="26" spans="1:8" s="361" customFormat="1" ht="15.75" customHeight="1">
      <c r="A26" s="541" t="s">
        <v>384</v>
      </c>
      <c r="B26" s="541"/>
      <c r="C26" s="541"/>
      <c r="D26" s="541"/>
      <c r="E26" s="541"/>
      <c r="F26" s="541"/>
      <c r="G26" s="541"/>
      <c r="H26" s="541"/>
    </row>
    <row r="27" spans="1:8" ht="15.75">
      <c r="A27" s="410"/>
      <c r="B27" s="410"/>
      <c r="C27" s="410"/>
      <c r="D27" s="410"/>
      <c r="E27" s="410"/>
      <c r="G27" s="430" t="s">
        <v>184</v>
      </c>
    </row>
    <row r="28" spans="1:8" ht="25.5">
      <c r="A28" s="432" t="s">
        <v>217</v>
      </c>
      <c r="B28" s="432" t="s">
        <v>0</v>
      </c>
      <c r="C28" s="432" t="s">
        <v>8</v>
      </c>
      <c r="D28" s="432" t="s">
        <v>263</v>
      </c>
      <c r="E28" s="432" t="s">
        <v>223</v>
      </c>
      <c r="F28" s="419" t="s">
        <v>379</v>
      </c>
      <c r="G28" s="420" t="s">
        <v>378</v>
      </c>
      <c r="H28" s="425" t="s">
        <v>144</v>
      </c>
    </row>
    <row r="29" spans="1:8">
      <c r="A29" s="387">
        <v>1</v>
      </c>
      <c r="B29" s="387">
        <v>2</v>
      </c>
      <c r="C29" s="387">
        <v>3</v>
      </c>
      <c r="D29" s="387">
        <v>4</v>
      </c>
      <c r="E29" s="387">
        <v>5</v>
      </c>
      <c r="F29" s="387">
        <v>6</v>
      </c>
      <c r="G29" s="426">
        <v>7</v>
      </c>
      <c r="H29" s="164">
        <v>8</v>
      </c>
    </row>
    <row r="30" spans="1:8" ht="51">
      <c r="A30" s="388">
        <v>1</v>
      </c>
      <c r="B30" s="388">
        <v>852</v>
      </c>
      <c r="C30" s="388">
        <v>85201</v>
      </c>
      <c r="D30" s="388">
        <v>2820</v>
      </c>
      <c r="E30" s="431" t="s">
        <v>390</v>
      </c>
      <c r="F30" s="433">
        <v>2071954.83</v>
      </c>
      <c r="G30" s="435">
        <v>664754.82999999996</v>
      </c>
      <c r="H30" s="53">
        <f>G30/F30*100</f>
        <v>32.083461491291295</v>
      </c>
    </row>
    <row r="31" spans="1:8" ht="89.25">
      <c r="A31" s="388">
        <v>2</v>
      </c>
      <c r="B31" s="388">
        <v>852</v>
      </c>
      <c r="C31" s="388">
        <v>85202</v>
      </c>
      <c r="D31" s="388">
        <v>2820</v>
      </c>
      <c r="E31" s="431" t="s">
        <v>391</v>
      </c>
      <c r="F31" s="433">
        <v>1770000</v>
      </c>
      <c r="G31" s="435">
        <v>863722</v>
      </c>
      <c r="H31" s="53">
        <f t="shared" ref="H31:H33" si="1">G31/F31*100</f>
        <v>48.797853107344636</v>
      </c>
    </row>
    <row r="32" spans="1:8" ht="63.75">
      <c r="A32" s="388">
        <v>3</v>
      </c>
      <c r="B32" s="388">
        <v>926</v>
      </c>
      <c r="C32" s="388">
        <v>92605</v>
      </c>
      <c r="D32" s="388">
        <v>2820</v>
      </c>
      <c r="E32" s="431" t="s">
        <v>392</v>
      </c>
      <c r="F32" s="433">
        <v>45000</v>
      </c>
      <c r="G32" s="435">
        <v>45000</v>
      </c>
      <c r="H32" s="53">
        <f t="shared" si="1"/>
        <v>100</v>
      </c>
    </row>
    <row r="33" spans="1:8">
      <c r="A33" s="537" t="s">
        <v>179</v>
      </c>
      <c r="B33" s="538"/>
      <c r="C33" s="538"/>
      <c r="D33" s="538"/>
      <c r="E33" s="539"/>
      <c r="F33" s="434">
        <f>SUM(F30:F32)</f>
        <v>3886954.83</v>
      </c>
      <c r="G33" s="436">
        <f>SUM(G30:G32)</f>
        <v>1573476.83</v>
      </c>
      <c r="H33" s="165">
        <f t="shared" si="1"/>
        <v>40.480965146693002</v>
      </c>
    </row>
    <row r="34" spans="1:8" ht="15.75">
      <c r="A34" s="42"/>
      <c r="B34" s="42"/>
      <c r="C34" s="42"/>
      <c r="D34" s="42"/>
      <c r="E34" s="42"/>
      <c r="F34" s="42"/>
      <c r="H34" s="412"/>
    </row>
    <row r="35" spans="1:8" ht="15.75">
      <c r="H35" s="412"/>
    </row>
    <row r="36" spans="1:8" ht="15.75">
      <c r="H36" s="412"/>
    </row>
    <row r="37" spans="1:8" ht="15.75">
      <c r="H37" s="412"/>
    </row>
    <row r="43" spans="1:8" ht="15.75" customHeight="1"/>
    <row r="44" spans="1:8" ht="15.75" customHeight="1"/>
    <row r="45" spans="1:8" ht="15.75" customHeight="1"/>
    <row r="46" spans="1:8" s="361" customFormat="1" ht="15.75" customHeight="1">
      <c r="A46" s="45"/>
      <c r="B46" s="45"/>
      <c r="C46" s="45"/>
      <c r="D46" s="45"/>
      <c r="E46" s="45"/>
      <c r="F46" s="45"/>
      <c r="G46" s="45"/>
    </row>
    <row r="59" spans="1:8" s="361" customFormat="1">
      <c r="A59" s="45"/>
      <c r="B59" s="45"/>
      <c r="C59" s="45"/>
      <c r="D59" s="45"/>
      <c r="E59" s="45"/>
      <c r="F59" s="45"/>
      <c r="G59" s="45"/>
      <c r="H59" s="45"/>
    </row>
  </sheetData>
  <mergeCells count="18">
    <mergeCell ref="G1:H1"/>
    <mergeCell ref="G21:H21"/>
    <mergeCell ref="A22:H22"/>
    <mergeCell ref="A23:H23"/>
    <mergeCell ref="A24:H24"/>
    <mergeCell ref="A33:E33"/>
    <mergeCell ref="A25:H25"/>
    <mergeCell ref="A26:H26"/>
    <mergeCell ref="A2:F2"/>
    <mergeCell ref="A15:A18"/>
    <mergeCell ref="B15:B18"/>
    <mergeCell ref="C15:C18"/>
    <mergeCell ref="D15:D18"/>
    <mergeCell ref="A6:H6"/>
    <mergeCell ref="A3:H3"/>
    <mergeCell ref="A4:H4"/>
    <mergeCell ref="A5:H5"/>
    <mergeCell ref="A19:E19"/>
  </mergeCells>
  <pageMargins left="0.7" right="0.7" top="0.75" bottom="0.75" header="0.3" footer="0.3"/>
  <pageSetup paperSize="9" orientation="portrait" r:id="rId1"/>
  <headerFooter>
    <oddFooter>&amp;C&amp;"Times New (W1),Normalny"Tabele Nr 6 i 7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I57"/>
  <sheetViews>
    <sheetView view="pageLayout" workbookViewId="0">
      <selection activeCell="E29" sqref="E29"/>
    </sheetView>
  </sheetViews>
  <sheetFormatPr defaultRowHeight="12.75"/>
  <cols>
    <col min="1" max="1" width="3.85546875" customWidth="1"/>
    <col min="2" max="2" width="6.28515625" customWidth="1"/>
    <col min="3" max="3" width="7.140625" customWidth="1"/>
    <col min="4" max="4" width="6.28515625" customWidth="1"/>
    <col min="5" max="5" width="32.5703125" customWidth="1"/>
    <col min="6" max="6" width="13" customWidth="1"/>
    <col min="7" max="7" width="12.42578125" bestFit="1" customWidth="1"/>
    <col min="8" max="8" width="7.7109375" customWidth="1"/>
    <col min="9" max="9" width="6.85546875" customWidth="1"/>
  </cols>
  <sheetData>
    <row r="1" spans="1:8">
      <c r="A1" s="42"/>
      <c r="B1" s="42"/>
      <c r="C1" s="42"/>
      <c r="D1" s="42"/>
      <c r="E1" s="42"/>
      <c r="F1" s="42"/>
      <c r="G1" s="546" t="s">
        <v>387</v>
      </c>
      <c r="H1" s="546"/>
    </row>
    <row r="2" spans="1:8" ht="15.75">
      <c r="A2" s="540" t="s">
        <v>388</v>
      </c>
      <c r="B2" s="540"/>
      <c r="C2" s="540"/>
      <c r="D2" s="540"/>
      <c r="E2" s="540"/>
      <c r="F2" s="540"/>
      <c r="G2" s="540"/>
    </row>
    <row r="3" spans="1:8" ht="15.75">
      <c r="A3" s="540" t="s">
        <v>389</v>
      </c>
      <c r="B3" s="540"/>
      <c r="C3" s="540"/>
      <c r="D3" s="540"/>
      <c r="E3" s="540"/>
      <c r="F3" s="540"/>
      <c r="G3" s="540"/>
    </row>
    <row r="4" spans="1:8" ht="15.75">
      <c r="A4" s="540" t="s">
        <v>405</v>
      </c>
      <c r="B4" s="540"/>
      <c r="C4" s="540"/>
      <c r="D4" s="540"/>
      <c r="E4" s="540"/>
      <c r="F4" s="540"/>
      <c r="G4" s="540"/>
    </row>
    <row r="5" spans="1:8" ht="15.75">
      <c r="A5" s="541" t="s">
        <v>384</v>
      </c>
      <c r="B5" s="541"/>
      <c r="C5" s="541"/>
      <c r="D5" s="541"/>
      <c r="E5" s="541"/>
      <c r="F5" s="541"/>
      <c r="G5" s="541"/>
      <c r="H5" s="541"/>
    </row>
    <row r="6" spans="1:8" ht="15.75">
      <c r="A6" s="410"/>
      <c r="B6" s="410"/>
      <c r="C6" s="410"/>
      <c r="D6" s="410"/>
      <c r="E6" s="410"/>
      <c r="F6" s="410"/>
      <c r="G6" s="430" t="s">
        <v>184</v>
      </c>
    </row>
    <row r="7" spans="1:8" ht="25.5">
      <c r="A7" s="432" t="s">
        <v>217</v>
      </c>
      <c r="B7" s="432" t="s">
        <v>0</v>
      </c>
      <c r="C7" s="432" t="s">
        <v>8</v>
      </c>
      <c r="D7" s="432" t="s">
        <v>263</v>
      </c>
      <c r="E7" s="432" t="s">
        <v>223</v>
      </c>
      <c r="F7" s="419" t="s">
        <v>379</v>
      </c>
      <c r="G7" s="420" t="s">
        <v>378</v>
      </c>
      <c r="H7" s="445" t="s">
        <v>144</v>
      </c>
    </row>
    <row r="8" spans="1:8">
      <c r="A8" s="387">
        <v>1</v>
      </c>
      <c r="B8" s="387">
        <v>2</v>
      </c>
      <c r="C8" s="387">
        <v>3</v>
      </c>
      <c r="D8" s="387">
        <v>4</v>
      </c>
      <c r="E8" s="387">
        <v>5</v>
      </c>
      <c r="F8" s="387">
        <v>6</v>
      </c>
      <c r="G8" s="387">
        <v>7</v>
      </c>
      <c r="H8" s="387">
        <v>8</v>
      </c>
    </row>
    <row r="9" spans="1:8" ht="141" customHeight="1">
      <c r="A9" s="438">
        <v>1</v>
      </c>
      <c r="B9" s="438">
        <v>600</v>
      </c>
      <c r="C9" s="438">
        <v>60016</v>
      </c>
      <c r="D9" s="438">
        <v>6300</v>
      </c>
      <c r="E9" s="439" t="s">
        <v>395</v>
      </c>
      <c r="F9" s="447">
        <v>100000</v>
      </c>
      <c r="G9" s="447">
        <v>0</v>
      </c>
      <c r="H9" s="446">
        <f>G9/F9*100</f>
        <v>0</v>
      </c>
    </row>
    <row r="10" spans="1:8" ht="54" customHeight="1">
      <c r="A10" s="438">
        <v>2</v>
      </c>
      <c r="B10" s="438">
        <v>600</v>
      </c>
      <c r="C10" s="438">
        <v>60016</v>
      </c>
      <c r="D10" s="438">
        <v>6300</v>
      </c>
      <c r="E10" s="439" t="s">
        <v>396</v>
      </c>
      <c r="F10" s="447">
        <v>100000</v>
      </c>
      <c r="G10" s="447">
        <v>100000</v>
      </c>
      <c r="H10" s="446">
        <f t="shared" ref="H10:H14" si="0">G10/F10*100</f>
        <v>100</v>
      </c>
    </row>
    <row r="11" spans="1:8" ht="45" customHeight="1">
      <c r="A11" s="390">
        <v>3</v>
      </c>
      <c r="B11" s="390">
        <v>754</v>
      </c>
      <c r="C11" s="390">
        <v>75412</v>
      </c>
      <c r="D11" s="390">
        <v>2710</v>
      </c>
      <c r="E11" s="440" t="s">
        <v>397</v>
      </c>
      <c r="F11" s="448">
        <f>'[1]tab 2'!F199</f>
        <v>35000</v>
      </c>
      <c r="G11" s="448">
        <f>'[1]tab 2'!G199</f>
        <v>0</v>
      </c>
      <c r="H11" s="446">
        <f t="shared" si="0"/>
        <v>0</v>
      </c>
    </row>
    <row r="12" spans="1:8" ht="40.5" customHeight="1">
      <c r="A12" s="438">
        <v>4</v>
      </c>
      <c r="B12" s="438">
        <v>801</v>
      </c>
      <c r="C12" s="438">
        <v>80195</v>
      </c>
      <c r="D12" s="438">
        <v>2710</v>
      </c>
      <c r="E12" s="441" t="s">
        <v>398</v>
      </c>
      <c r="F12" s="449">
        <f>'[1]tab 2'!F446</f>
        <v>6743</v>
      </c>
      <c r="G12" s="449">
        <f>'[1]tab 2'!G446</f>
        <v>0</v>
      </c>
      <c r="H12" s="446">
        <f t="shared" si="0"/>
        <v>0</v>
      </c>
    </row>
    <row r="13" spans="1:8" ht="44.25" customHeight="1">
      <c r="A13" s="388">
        <v>5</v>
      </c>
      <c r="B13" s="388">
        <v>926</v>
      </c>
      <c r="C13" s="388">
        <v>92601</v>
      </c>
      <c r="D13" s="388">
        <v>6300</v>
      </c>
      <c r="E13" s="442" t="s">
        <v>399</v>
      </c>
      <c r="F13" s="450">
        <f>'[1]tab 2'!E768</f>
        <v>1500000</v>
      </c>
      <c r="G13" s="450">
        <f>'[1]tab 2'!F768</f>
        <v>0</v>
      </c>
      <c r="H13" s="446">
        <f t="shared" si="0"/>
        <v>0</v>
      </c>
    </row>
    <row r="14" spans="1:8">
      <c r="A14" s="443" t="s">
        <v>179</v>
      </c>
      <c r="B14" s="444"/>
      <c r="C14" s="444"/>
      <c r="D14" s="444"/>
      <c r="E14" s="444"/>
      <c r="F14" s="451">
        <f>F9+F10+F11+F13+F12</f>
        <v>1741743</v>
      </c>
      <c r="G14" s="451">
        <f>G9+G10+G11+G13+G12</f>
        <v>100000</v>
      </c>
      <c r="H14" s="452">
        <f t="shared" si="0"/>
        <v>5.7413751626962188</v>
      </c>
    </row>
    <row r="16" spans="1:8">
      <c r="A16" s="42"/>
      <c r="B16" s="42"/>
      <c r="C16" s="42"/>
      <c r="D16" s="42"/>
      <c r="E16" s="42"/>
      <c r="F16" s="42"/>
      <c r="G16" s="546" t="s">
        <v>394</v>
      </c>
      <c r="H16" s="546"/>
    </row>
    <row r="17" spans="1:9" ht="15.75" customHeight="1">
      <c r="A17" s="540" t="s">
        <v>388</v>
      </c>
      <c r="B17" s="540"/>
      <c r="C17" s="540"/>
      <c r="D17" s="540"/>
      <c r="E17" s="540"/>
      <c r="F17" s="540"/>
      <c r="G17" s="540"/>
      <c r="H17" s="540"/>
    </row>
    <row r="18" spans="1:9" ht="15.75" customHeight="1">
      <c r="A18" s="540" t="s">
        <v>389</v>
      </c>
      <c r="B18" s="540"/>
      <c r="C18" s="540"/>
      <c r="D18" s="540"/>
      <c r="E18" s="540"/>
      <c r="F18" s="540"/>
      <c r="G18" s="540"/>
      <c r="H18" s="540"/>
    </row>
    <row r="19" spans="1:9" ht="15.75" customHeight="1">
      <c r="A19" s="540" t="s">
        <v>401</v>
      </c>
      <c r="B19" s="540"/>
      <c r="C19" s="540"/>
      <c r="D19" s="540"/>
      <c r="E19" s="540"/>
      <c r="F19" s="540"/>
      <c r="G19" s="540"/>
      <c r="H19" s="540"/>
    </row>
    <row r="20" spans="1:9" ht="15.75" customHeight="1">
      <c r="A20" s="540" t="s">
        <v>404</v>
      </c>
      <c r="B20" s="540"/>
      <c r="C20" s="540"/>
      <c r="D20" s="540"/>
      <c r="E20" s="540"/>
      <c r="F20" s="540"/>
      <c r="G20" s="540"/>
      <c r="H20" s="540"/>
    </row>
    <row r="21" spans="1:9" ht="15.75">
      <c r="A21" s="541" t="s">
        <v>384</v>
      </c>
      <c r="B21" s="541"/>
      <c r="C21" s="541"/>
      <c r="D21" s="541"/>
      <c r="E21" s="541"/>
      <c r="F21" s="541"/>
      <c r="G21" s="541"/>
      <c r="H21" s="541"/>
    </row>
    <row r="22" spans="1:9" ht="15.75">
      <c r="A22" s="410"/>
      <c r="B22" s="410"/>
      <c r="C22" s="410"/>
      <c r="D22" s="410"/>
      <c r="E22" s="410"/>
      <c r="F22" s="410"/>
      <c r="G22" s="430" t="s">
        <v>184</v>
      </c>
    </row>
    <row r="23" spans="1:9" ht="25.5">
      <c r="A23" s="385" t="s">
        <v>217</v>
      </c>
      <c r="B23" s="385" t="s">
        <v>0</v>
      </c>
      <c r="C23" s="385" t="s">
        <v>8</v>
      </c>
      <c r="D23" s="385" t="s">
        <v>263</v>
      </c>
      <c r="E23" s="385" t="s">
        <v>223</v>
      </c>
      <c r="F23" s="419" t="s">
        <v>379</v>
      </c>
      <c r="G23" s="420" t="s">
        <v>378</v>
      </c>
      <c r="H23" s="445" t="s">
        <v>144</v>
      </c>
    </row>
    <row r="24" spans="1:9">
      <c r="A24" s="387">
        <v>1</v>
      </c>
      <c r="B24" s="387">
        <v>2</v>
      </c>
      <c r="C24" s="387">
        <v>3</v>
      </c>
      <c r="D24" s="387">
        <v>4</v>
      </c>
      <c r="E24" s="387">
        <v>5</v>
      </c>
      <c r="F24" s="387">
        <v>6</v>
      </c>
      <c r="G24" s="387">
        <v>7</v>
      </c>
      <c r="H24" s="387">
        <v>8</v>
      </c>
    </row>
    <row r="25" spans="1:9" ht="50.25" customHeight="1">
      <c r="A25" s="388">
        <v>1</v>
      </c>
      <c r="B25" s="388">
        <v>600</v>
      </c>
      <c r="C25" s="388">
        <v>60002</v>
      </c>
      <c r="D25" s="388">
        <v>6230</v>
      </c>
      <c r="E25" s="431" t="s">
        <v>402</v>
      </c>
      <c r="F25" s="453">
        <v>50000</v>
      </c>
      <c r="G25" s="454">
        <v>0</v>
      </c>
      <c r="H25" s="456">
        <f>G25/F25*100</f>
        <v>0</v>
      </c>
    </row>
    <row r="26" spans="1:9">
      <c r="A26" s="443" t="s">
        <v>179</v>
      </c>
      <c r="B26" s="444"/>
      <c r="C26" s="444"/>
      <c r="D26" s="444"/>
      <c r="E26" s="444"/>
      <c r="F26" s="455">
        <f>F25</f>
        <v>50000</v>
      </c>
      <c r="G26" s="454">
        <f>SUM(G25)</f>
        <v>0</v>
      </c>
      <c r="H26" s="456">
        <f>G26/F26*100</f>
        <v>0</v>
      </c>
    </row>
    <row r="27" spans="1:9">
      <c r="A27" s="42"/>
      <c r="B27" s="42"/>
      <c r="C27" s="42"/>
      <c r="D27" s="42"/>
      <c r="E27" s="42"/>
      <c r="F27" s="42"/>
      <c r="G27" s="42"/>
    </row>
    <row r="28" spans="1:9">
      <c r="H28" s="285"/>
      <c r="I28" s="286"/>
    </row>
    <row r="29" spans="1:9">
      <c r="A29" s="283"/>
      <c r="B29" s="283"/>
      <c r="C29" s="283"/>
      <c r="D29" s="283"/>
      <c r="E29" s="283"/>
      <c r="F29" s="283"/>
      <c r="G29" s="284"/>
      <c r="H29" s="285"/>
      <c r="I29" s="286"/>
    </row>
    <row r="38" ht="57.75" customHeight="1"/>
    <row r="39" ht="30.75" customHeight="1"/>
    <row r="40" ht="30" customHeight="1"/>
    <row r="41" ht="30.75" customHeight="1"/>
    <row r="42" ht="32.25" customHeight="1"/>
    <row r="43" ht="32.25" customHeight="1"/>
    <row r="44" ht="32.25" customHeight="1"/>
    <row r="45" ht="32.25" customHeight="1"/>
    <row r="57" spans="1:9" s="81" customFormat="1">
      <c r="A57"/>
      <c r="B57"/>
      <c r="C57"/>
      <c r="D57"/>
      <c r="E57"/>
      <c r="F57"/>
      <c r="G57"/>
      <c r="H57"/>
      <c r="I57"/>
    </row>
  </sheetData>
  <mergeCells count="11">
    <mergeCell ref="G1:H1"/>
    <mergeCell ref="G16:H16"/>
    <mergeCell ref="A5:H5"/>
    <mergeCell ref="A21:H21"/>
    <mergeCell ref="A17:H17"/>
    <mergeCell ref="A18:H18"/>
    <mergeCell ref="A19:H19"/>
    <mergeCell ref="A20:H20"/>
    <mergeCell ref="A2:G2"/>
    <mergeCell ref="A3:G3"/>
    <mergeCell ref="A4:G4"/>
  </mergeCells>
  <pageMargins left="0.7" right="0.7" top="0.75" bottom="0.75" header="0.3" footer="0.3"/>
  <pageSetup paperSize="9" orientation="portrait" r:id="rId1"/>
  <headerFooter>
    <oddFooter>&amp;C&amp;"Times New (W1),Normalny"Tabele Nr 8 i 9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I10"/>
  <sheetViews>
    <sheetView view="pageLayout" workbookViewId="0">
      <selection activeCell="F30" sqref="F30"/>
    </sheetView>
  </sheetViews>
  <sheetFormatPr defaultRowHeight="12.75"/>
  <cols>
    <col min="1" max="1" width="4.5703125" customWidth="1"/>
    <col min="2" max="2" width="6.42578125" customWidth="1"/>
    <col min="3" max="3" width="7.85546875" customWidth="1"/>
    <col min="5" max="5" width="10.7109375" customWidth="1"/>
    <col min="6" max="6" width="17.7109375" customWidth="1"/>
    <col min="7" max="7" width="12.28515625" customWidth="1"/>
    <col min="8" max="8" width="12" customWidth="1"/>
    <col min="9" max="9" width="6.42578125" customWidth="1"/>
  </cols>
  <sheetData>
    <row r="1" spans="1:9">
      <c r="A1" s="283"/>
      <c r="B1" s="283"/>
      <c r="C1" s="283"/>
      <c r="D1" s="283"/>
      <c r="E1" s="283"/>
      <c r="F1" s="283"/>
      <c r="G1" s="284"/>
      <c r="H1" s="550" t="s">
        <v>400</v>
      </c>
      <c r="I1" s="550"/>
    </row>
    <row r="2" spans="1:9">
      <c r="A2" s="283"/>
      <c r="B2" s="283"/>
      <c r="C2" s="283"/>
      <c r="D2" s="283"/>
      <c r="E2" s="283"/>
      <c r="F2" s="283"/>
      <c r="G2" s="284"/>
      <c r="H2" s="285"/>
      <c r="I2" s="286"/>
    </row>
    <row r="3" spans="1:9" ht="15.75">
      <c r="A3" s="549" t="s">
        <v>226</v>
      </c>
      <c r="B3" s="549"/>
      <c r="C3" s="549"/>
      <c r="D3" s="549"/>
      <c r="E3" s="549"/>
      <c r="F3" s="549"/>
      <c r="G3" s="549"/>
      <c r="H3" s="549"/>
      <c r="I3" s="549"/>
    </row>
    <row r="4" spans="1:9" ht="15.75">
      <c r="A4" s="549" t="s">
        <v>227</v>
      </c>
      <c r="B4" s="549"/>
      <c r="C4" s="549"/>
      <c r="D4" s="549"/>
      <c r="E4" s="549"/>
      <c r="F4" s="549"/>
      <c r="G4" s="549"/>
      <c r="H4" s="549"/>
      <c r="I4" s="549"/>
    </row>
    <row r="5" spans="1:9" ht="15.75">
      <c r="A5" s="549" t="s">
        <v>306</v>
      </c>
      <c r="B5" s="549"/>
      <c r="C5" s="549"/>
      <c r="D5" s="549"/>
      <c r="E5" s="549"/>
      <c r="F5" s="549"/>
      <c r="G5" s="549"/>
      <c r="H5" s="549"/>
      <c r="I5" s="549"/>
    </row>
    <row r="6" spans="1:9" ht="15.75">
      <c r="A6" s="159"/>
      <c r="B6" s="159"/>
      <c r="C6" s="159"/>
      <c r="D6" s="409"/>
      <c r="E6" s="159"/>
      <c r="F6" s="159"/>
      <c r="G6" s="167"/>
      <c r="H6" s="140" t="s">
        <v>184</v>
      </c>
      <c r="I6" s="141"/>
    </row>
    <row r="7" spans="1:9">
      <c r="A7" s="161" t="s">
        <v>217</v>
      </c>
      <c r="B7" s="161" t="s">
        <v>0</v>
      </c>
      <c r="C7" s="161" t="s">
        <v>8</v>
      </c>
      <c r="D7" s="547" t="s">
        <v>223</v>
      </c>
      <c r="E7" s="548"/>
      <c r="F7" s="162" t="s">
        <v>228</v>
      </c>
      <c r="G7" s="162" t="s">
        <v>180</v>
      </c>
      <c r="H7" s="161" t="s">
        <v>134</v>
      </c>
      <c r="I7" s="161" t="s">
        <v>144</v>
      </c>
    </row>
    <row r="8" spans="1:9">
      <c r="A8" s="163">
        <v>1</v>
      </c>
      <c r="B8" s="163">
        <v>2</v>
      </c>
      <c r="C8" s="163">
        <v>3</v>
      </c>
      <c r="D8" s="554">
        <v>4</v>
      </c>
      <c r="E8" s="555"/>
      <c r="F8" s="163">
        <v>5</v>
      </c>
      <c r="G8" s="163">
        <v>6</v>
      </c>
      <c r="H8" s="168">
        <v>7</v>
      </c>
      <c r="I8" s="168">
        <v>8</v>
      </c>
    </row>
    <row r="9" spans="1:9" ht="38.25">
      <c r="A9" s="169">
        <v>1</v>
      </c>
      <c r="B9" s="158">
        <v>754</v>
      </c>
      <c r="C9" s="158">
        <v>75406</v>
      </c>
      <c r="D9" s="556" t="s">
        <v>386</v>
      </c>
      <c r="E9" s="557"/>
      <c r="F9" s="170" t="s">
        <v>385</v>
      </c>
      <c r="G9" s="457">
        <v>4000</v>
      </c>
      <c r="H9" s="190">
        <v>4000</v>
      </c>
      <c r="I9" s="191">
        <f>H9/G9*100</f>
        <v>100</v>
      </c>
    </row>
    <row r="10" spans="1:9">
      <c r="A10" s="551" t="s">
        <v>179</v>
      </c>
      <c r="B10" s="552"/>
      <c r="C10" s="552"/>
      <c r="D10" s="552"/>
      <c r="E10" s="552"/>
      <c r="F10" s="553"/>
      <c r="G10" s="458">
        <f>SUM(G9:G9)</f>
        <v>4000</v>
      </c>
      <c r="H10" s="428">
        <f>SUM(H9:H9)</f>
        <v>4000</v>
      </c>
      <c r="I10" s="429">
        <f>H10/G10*100</f>
        <v>100</v>
      </c>
    </row>
  </sheetData>
  <mergeCells count="8">
    <mergeCell ref="D7:E7"/>
    <mergeCell ref="A5:I5"/>
    <mergeCell ref="H1:I1"/>
    <mergeCell ref="A3:I3"/>
    <mergeCell ref="A10:F10"/>
    <mergeCell ref="A4:I4"/>
    <mergeCell ref="D8:E8"/>
    <mergeCell ref="D9:E9"/>
  </mergeCells>
  <pageMargins left="0.7" right="0.7" top="0.75" bottom="0.75" header="0.3" footer="0.3"/>
  <pageSetup paperSize="9" orientation="portrait" r:id="rId1"/>
  <headerFooter>
    <oddFooter>&amp;CTabela Nr 10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AG32"/>
  <sheetViews>
    <sheetView view="pageLayout" workbookViewId="0">
      <selection activeCell="E28" sqref="E28:E29"/>
    </sheetView>
  </sheetViews>
  <sheetFormatPr defaultRowHeight="12.75"/>
  <cols>
    <col min="1" max="1" width="4.140625" customWidth="1"/>
    <col min="2" max="2" width="5.140625" customWidth="1"/>
    <col min="3" max="3" width="27.85546875" customWidth="1"/>
    <col min="4" max="4" width="10.140625" customWidth="1"/>
    <col min="5" max="5" width="10.42578125" customWidth="1"/>
    <col min="6" max="6" width="10.28515625" customWidth="1"/>
    <col min="7" max="7" width="10.140625" customWidth="1"/>
    <col min="8" max="8" width="10" customWidth="1"/>
    <col min="9" max="9" width="10.140625" customWidth="1"/>
    <col min="10" max="10" width="9.7109375" customWidth="1"/>
    <col min="11" max="11" width="9" customWidth="1"/>
    <col min="12" max="12" width="7.42578125" customWidth="1"/>
    <col min="13" max="13" width="7.85546875" customWidth="1"/>
    <col min="14" max="14" width="6.42578125" customWidth="1"/>
  </cols>
  <sheetData>
    <row r="1" spans="1:33">
      <c r="A1" s="42"/>
      <c r="B1" s="42"/>
      <c r="C1" s="42"/>
      <c r="D1" s="515" t="s">
        <v>406</v>
      </c>
      <c r="E1" s="515"/>
      <c r="F1" s="515"/>
      <c r="G1" s="515"/>
      <c r="H1" s="515"/>
      <c r="I1" s="515"/>
      <c r="J1" s="515"/>
      <c r="K1" s="515"/>
      <c r="L1" s="515"/>
      <c r="M1" s="515"/>
      <c r="N1" s="515"/>
    </row>
    <row r="2" spans="1:33">
      <c r="A2" s="484" t="s">
        <v>7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</row>
    <row r="3" spans="1:33">
      <c r="A3" s="484" t="s">
        <v>3</v>
      </c>
      <c r="B3" s="484"/>
      <c r="C3" s="484"/>
      <c r="D3" s="484"/>
      <c r="E3" s="484"/>
      <c r="F3" s="484"/>
      <c r="G3" s="484"/>
      <c r="H3" s="484"/>
      <c r="I3" s="484"/>
      <c r="J3" s="484"/>
      <c r="K3" s="484"/>
      <c r="L3" s="484"/>
      <c r="M3" s="484"/>
      <c r="N3" s="484"/>
    </row>
    <row r="4" spans="1:33" ht="14.25" customHeight="1">
      <c r="A4" s="558" t="s">
        <v>5</v>
      </c>
      <c r="B4" s="558"/>
      <c r="C4" s="558"/>
      <c r="D4" s="558"/>
      <c r="E4" s="558"/>
      <c r="F4" s="558"/>
      <c r="G4" s="558"/>
      <c r="H4" s="558"/>
      <c r="I4" s="558"/>
      <c r="J4" s="558"/>
      <c r="K4" s="558"/>
      <c r="L4" s="558"/>
      <c r="M4" s="558"/>
      <c r="N4" s="558"/>
    </row>
    <row r="5" spans="1:33">
      <c r="A5" s="484" t="s">
        <v>306</v>
      </c>
      <c r="B5" s="484"/>
      <c r="C5" s="484"/>
      <c r="D5" s="484"/>
      <c r="E5" s="484"/>
      <c r="F5" s="484"/>
      <c r="G5" s="484"/>
      <c r="H5" s="484"/>
      <c r="I5" s="484"/>
      <c r="J5" s="484"/>
      <c r="K5" s="484"/>
      <c r="L5" s="484"/>
      <c r="M5" s="484"/>
      <c r="N5" s="484"/>
    </row>
    <row r="6" spans="1:3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 t="s">
        <v>184</v>
      </c>
    </row>
    <row r="7" spans="1:33" s="6" customFormat="1" ht="12.75" customHeight="1">
      <c r="A7" s="485" t="s">
        <v>0</v>
      </c>
      <c r="B7" s="485" t="s">
        <v>8</v>
      </c>
      <c r="C7" s="485" t="s">
        <v>1</v>
      </c>
      <c r="D7" s="485" t="s">
        <v>176</v>
      </c>
      <c r="E7" s="485" t="s">
        <v>134</v>
      </c>
      <c r="F7" s="567" t="s">
        <v>163</v>
      </c>
      <c r="G7" s="568"/>
      <c r="H7" s="568"/>
      <c r="I7" s="568"/>
      <c r="J7" s="568"/>
      <c r="K7" s="568"/>
      <c r="L7" s="568"/>
      <c r="M7" s="568"/>
      <c r="N7" s="564" t="s">
        <v>131</v>
      </c>
    </row>
    <row r="8" spans="1:33" s="6" customFormat="1" ht="12.75" customHeight="1">
      <c r="A8" s="486"/>
      <c r="B8" s="486"/>
      <c r="C8" s="486"/>
      <c r="D8" s="486"/>
      <c r="E8" s="486"/>
      <c r="F8" s="460" t="s">
        <v>9</v>
      </c>
      <c r="G8" s="87" t="s">
        <v>10</v>
      </c>
      <c r="H8" s="87"/>
      <c r="I8" s="87"/>
      <c r="J8" s="87"/>
      <c r="K8" s="87"/>
      <c r="L8" s="88"/>
      <c r="M8" s="565" t="s">
        <v>162</v>
      </c>
      <c r="N8" s="564"/>
    </row>
    <row r="9" spans="1:33" s="6" customFormat="1" ht="93.75" customHeight="1">
      <c r="A9" s="487"/>
      <c r="B9" s="487"/>
      <c r="C9" s="487"/>
      <c r="D9" s="487"/>
      <c r="E9" s="487"/>
      <c r="F9" s="462"/>
      <c r="G9" s="157" t="s">
        <v>307</v>
      </c>
      <c r="H9" s="157" t="s">
        <v>311</v>
      </c>
      <c r="I9" s="157" t="s">
        <v>308</v>
      </c>
      <c r="J9" s="157" t="s">
        <v>309</v>
      </c>
      <c r="K9" s="346" t="s">
        <v>310</v>
      </c>
      <c r="L9" s="157" t="s">
        <v>11</v>
      </c>
      <c r="M9" s="566"/>
      <c r="N9" s="564"/>
    </row>
    <row r="10" spans="1:33" s="80" customFormat="1" ht="11.25">
      <c r="A10" s="149">
        <v>1</v>
      </c>
      <c r="B10" s="149">
        <v>2</v>
      </c>
      <c r="C10" s="149">
        <v>3</v>
      </c>
      <c r="D10" s="149">
        <v>4</v>
      </c>
      <c r="E10" s="149">
        <v>5</v>
      </c>
      <c r="F10" s="149">
        <v>6</v>
      </c>
      <c r="G10" s="149">
        <v>7</v>
      </c>
      <c r="H10" s="149">
        <v>8</v>
      </c>
      <c r="I10" s="149">
        <v>9</v>
      </c>
      <c r="J10" s="149">
        <v>10</v>
      </c>
      <c r="K10" s="149">
        <v>11</v>
      </c>
      <c r="L10" s="149">
        <v>12</v>
      </c>
      <c r="M10" s="149">
        <v>13</v>
      </c>
      <c r="N10" s="149">
        <v>14</v>
      </c>
    </row>
    <row r="11" spans="1:33" s="84" customFormat="1" ht="12">
      <c r="A11" s="59" t="s">
        <v>19</v>
      </c>
      <c r="B11" s="60"/>
      <c r="C11" s="61" t="s">
        <v>33</v>
      </c>
      <c r="D11" s="375">
        <f>D12</f>
        <v>125000</v>
      </c>
      <c r="E11" s="375">
        <f t="shared" ref="E11:M11" si="0">E12</f>
        <v>3965</v>
      </c>
      <c r="F11" s="375">
        <f t="shared" si="0"/>
        <v>3965</v>
      </c>
      <c r="G11" s="375">
        <f t="shared" si="0"/>
        <v>0</v>
      </c>
      <c r="H11" s="375">
        <f t="shared" si="0"/>
        <v>3965</v>
      </c>
      <c r="I11" s="375">
        <f t="shared" si="0"/>
        <v>0</v>
      </c>
      <c r="J11" s="375">
        <f t="shared" si="0"/>
        <v>0</v>
      </c>
      <c r="K11" s="375">
        <f t="shared" si="0"/>
        <v>0</v>
      </c>
      <c r="L11" s="375">
        <f t="shared" si="0"/>
        <v>0</v>
      </c>
      <c r="M11" s="375">
        <f t="shared" si="0"/>
        <v>0</v>
      </c>
      <c r="N11" s="381">
        <f>E11/D11*100</f>
        <v>3.1719999999999997</v>
      </c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</row>
    <row r="12" spans="1:33" s="86" customFormat="1" ht="12">
      <c r="A12" s="62" t="s">
        <v>18</v>
      </c>
      <c r="B12" s="63" t="s">
        <v>54</v>
      </c>
      <c r="C12" s="64" t="s">
        <v>70</v>
      </c>
      <c r="D12" s="378">
        <v>125000</v>
      </c>
      <c r="E12" s="378">
        <v>3965</v>
      </c>
      <c r="F12" s="378">
        <f>E12</f>
        <v>3965</v>
      </c>
      <c r="G12" s="378">
        <v>0</v>
      </c>
      <c r="H12" s="378">
        <f>F12</f>
        <v>3965</v>
      </c>
      <c r="I12" s="378"/>
      <c r="J12" s="378"/>
      <c r="K12" s="378">
        <v>0</v>
      </c>
      <c r="L12" s="378">
        <v>0</v>
      </c>
      <c r="M12" s="379">
        <v>0</v>
      </c>
      <c r="N12" s="459">
        <f t="shared" ref="N12:N32" si="1">E12/D12*100</f>
        <v>3.1719999999999997</v>
      </c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</row>
    <row r="13" spans="1:33" s="57" customFormat="1" ht="12">
      <c r="A13" s="60">
        <v>700</v>
      </c>
      <c r="B13" s="59"/>
      <c r="C13" s="68" t="s">
        <v>35</v>
      </c>
      <c r="D13" s="376">
        <f>D14</f>
        <v>15000</v>
      </c>
      <c r="E13" s="376">
        <f t="shared" ref="E13:M13" si="2">E14</f>
        <v>1750.29</v>
      </c>
      <c r="F13" s="376">
        <f t="shared" si="2"/>
        <v>1750.29</v>
      </c>
      <c r="G13" s="376">
        <f t="shared" si="2"/>
        <v>750</v>
      </c>
      <c r="H13" s="376">
        <f t="shared" si="2"/>
        <v>1000.29</v>
      </c>
      <c r="I13" s="376">
        <f t="shared" si="2"/>
        <v>0</v>
      </c>
      <c r="J13" s="376">
        <f t="shared" si="2"/>
        <v>0</v>
      </c>
      <c r="K13" s="376">
        <f t="shared" si="2"/>
        <v>0</v>
      </c>
      <c r="L13" s="376">
        <f t="shared" si="2"/>
        <v>0</v>
      </c>
      <c r="M13" s="376">
        <f t="shared" si="2"/>
        <v>0</v>
      </c>
      <c r="N13" s="381">
        <f t="shared" si="1"/>
        <v>11.6686</v>
      </c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</row>
    <row r="14" spans="1:33" s="86" customFormat="1" ht="12">
      <c r="A14" s="62" t="s">
        <v>18</v>
      </c>
      <c r="B14" s="62">
        <v>70005</v>
      </c>
      <c r="C14" s="64" t="s">
        <v>76</v>
      </c>
      <c r="D14" s="378">
        <v>15000</v>
      </c>
      <c r="E14" s="378">
        <v>1750.29</v>
      </c>
      <c r="F14" s="378">
        <f>E14</f>
        <v>1750.29</v>
      </c>
      <c r="G14" s="378">
        <v>750</v>
      </c>
      <c r="H14" s="378">
        <f>F14-G14</f>
        <v>1000.29</v>
      </c>
      <c r="I14" s="378"/>
      <c r="J14" s="378"/>
      <c r="K14" s="378"/>
      <c r="L14" s="378"/>
      <c r="M14" s="379"/>
      <c r="N14" s="459">
        <f t="shared" si="1"/>
        <v>11.6686</v>
      </c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</row>
    <row r="15" spans="1:33" s="57" customFormat="1" ht="12">
      <c r="A15" s="69">
        <v>710</v>
      </c>
      <c r="B15" s="60"/>
      <c r="C15" s="68" t="s">
        <v>110</v>
      </c>
      <c r="D15" s="376">
        <f>D16+D17+D18</f>
        <v>365173</v>
      </c>
      <c r="E15" s="376">
        <f t="shared" ref="E15:M15" si="3">E16+E17+E18</f>
        <v>149685.07999999999</v>
      </c>
      <c r="F15" s="376">
        <f t="shared" si="3"/>
        <v>149685.07999999999</v>
      </c>
      <c r="G15" s="376">
        <f t="shared" si="3"/>
        <v>138827.57999999999</v>
      </c>
      <c r="H15" s="376">
        <f t="shared" si="3"/>
        <v>10857.5</v>
      </c>
      <c r="I15" s="376">
        <f t="shared" si="3"/>
        <v>0</v>
      </c>
      <c r="J15" s="376">
        <f t="shared" si="3"/>
        <v>0</v>
      </c>
      <c r="K15" s="376">
        <f t="shared" si="3"/>
        <v>0</v>
      </c>
      <c r="L15" s="376">
        <f t="shared" si="3"/>
        <v>0</v>
      </c>
      <c r="M15" s="376">
        <f t="shared" si="3"/>
        <v>0</v>
      </c>
      <c r="N15" s="381">
        <f t="shared" si="1"/>
        <v>40.990182735306277</v>
      </c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</row>
    <row r="16" spans="1:33" s="86" customFormat="1" ht="12.75" customHeight="1">
      <c r="A16" s="569" t="s">
        <v>18</v>
      </c>
      <c r="B16" s="70">
        <v>71013</v>
      </c>
      <c r="C16" s="64" t="s">
        <v>111</v>
      </c>
      <c r="D16" s="378">
        <v>67000</v>
      </c>
      <c r="E16" s="378">
        <v>0</v>
      </c>
      <c r="F16" s="378"/>
      <c r="G16" s="378"/>
      <c r="H16" s="378"/>
      <c r="I16" s="378"/>
      <c r="J16" s="378"/>
      <c r="K16" s="378"/>
      <c r="L16" s="378"/>
      <c r="M16" s="379"/>
      <c r="N16" s="459">
        <f t="shared" si="1"/>
        <v>0</v>
      </c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</row>
    <row r="17" spans="1:33" s="86" customFormat="1" ht="12.75" customHeight="1">
      <c r="A17" s="570"/>
      <c r="B17" s="70">
        <v>71014</v>
      </c>
      <c r="C17" s="67" t="s">
        <v>78</v>
      </c>
      <c r="D17" s="378">
        <v>17000</v>
      </c>
      <c r="E17" s="378">
        <v>0</v>
      </c>
      <c r="F17" s="378"/>
      <c r="G17" s="378"/>
      <c r="H17" s="378"/>
      <c r="I17" s="378"/>
      <c r="J17" s="378"/>
      <c r="K17" s="378"/>
      <c r="L17" s="378"/>
      <c r="M17" s="379"/>
      <c r="N17" s="459">
        <f t="shared" si="1"/>
        <v>0</v>
      </c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</row>
    <row r="18" spans="1:33" s="86" customFormat="1" ht="13.5" customHeight="1">
      <c r="A18" s="571"/>
      <c r="B18" s="70">
        <v>71015</v>
      </c>
      <c r="C18" s="67" t="s">
        <v>79</v>
      </c>
      <c r="D18" s="378">
        <v>281173</v>
      </c>
      <c r="E18" s="378">
        <v>149685.07999999999</v>
      </c>
      <c r="F18" s="378">
        <f>E18</f>
        <v>149685.07999999999</v>
      </c>
      <c r="G18" s="378">
        <f>33261.6+70590+15451.46+17254.16+2270.36</f>
        <v>138827.57999999999</v>
      </c>
      <c r="H18" s="378">
        <f>F18-G18</f>
        <v>10857.5</v>
      </c>
      <c r="I18" s="378"/>
      <c r="J18" s="378"/>
      <c r="K18" s="378"/>
      <c r="L18" s="378"/>
      <c r="M18" s="379"/>
      <c r="N18" s="459">
        <f t="shared" si="1"/>
        <v>53.235936594196453</v>
      </c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</row>
    <row r="19" spans="1:33" s="57" customFormat="1" ht="12">
      <c r="A19" s="71">
        <v>750</v>
      </c>
      <c r="B19" s="60"/>
      <c r="C19" s="65" t="s">
        <v>37</v>
      </c>
      <c r="D19" s="376">
        <f>D20+D21</f>
        <v>133200</v>
      </c>
      <c r="E19" s="376">
        <f t="shared" ref="E19:M19" si="4">E20+E21</f>
        <v>77798.710000000006</v>
      </c>
      <c r="F19" s="376">
        <f t="shared" si="4"/>
        <v>77798.710000000006</v>
      </c>
      <c r="G19" s="376">
        <f t="shared" si="4"/>
        <v>71289.820000000007</v>
      </c>
      <c r="H19" s="376">
        <f t="shared" si="4"/>
        <v>4508.8899999999994</v>
      </c>
      <c r="I19" s="376">
        <f t="shared" si="4"/>
        <v>0</v>
      </c>
      <c r="J19" s="376">
        <f t="shared" si="4"/>
        <v>2000</v>
      </c>
      <c r="K19" s="376">
        <f t="shared" si="4"/>
        <v>0</v>
      </c>
      <c r="L19" s="376">
        <f t="shared" si="4"/>
        <v>0</v>
      </c>
      <c r="M19" s="376">
        <f t="shared" si="4"/>
        <v>0</v>
      </c>
      <c r="N19" s="381">
        <f t="shared" si="1"/>
        <v>58.407439939939941</v>
      </c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</row>
    <row r="20" spans="1:33" s="86" customFormat="1" ht="12">
      <c r="A20" s="569" t="s">
        <v>18</v>
      </c>
      <c r="B20" s="70">
        <v>75011</v>
      </c>
      <c r="C20" s="67" t="s">
        <v>82</v>
      </c>
      <c r="D20" s="378">
        <v>114200</v>
      </c>
      <c r="E20" s="378">
        <v>58802.98</v>
      </c>
      <c r="F20" s="378">
        <f>E20</f>
        <v>58802.98</v>
      </c>
      <c r="G20" s="378">
        <f>F20</f>
        <v>58802.98</v>
      </c>
      <c r="H20" s="378">
        <v>0</v>
      </c>
      <c r="I20" s="378"/>
      <c r="J20" s="378"/>
      <c r="K20" s="378"/>
      <c r="L20" s="378"/>
      <c r="M20" s="379"/>
      <c r="N20" s="459">
        <f t="shared" si="1"/>
        <v>51.491225919439586</v>
      </c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</row>
    <row r="21" spans="1:33" s="86" customFormat="1" ht="12.75" customHeight="1">
      <c r="A21" s="571"/>
      <c r="B21" s="70">
        <v>75045</v>
      </c>
      <c r="C21" s="67" t="s">
        <v>84</v>
      </c>
      <c r="D21" s="378">
        <v>19000</v>
      </c>
      <c r="E21" s="378">
        <v>18995.73</v>
      </c>
      <c r="F21" s="378">
        <f>E21</f>
        <v>18995.73</v>
      </c>
      <c r="G21" s="380">
        <f>401.66+65.18+12020</f>
        <v>12486.84</v>
      </c>
      <c r="H21" s="378">
        <f>F21-G21-J21</f>
        <v>4508.8899999999994</v>
      </c>
      <c r="I21" s="378"/>
      <c r="J21" s="378">
        <v>2000</v>
      </c>
      <c r="K21" s="378"/>
      <c r="L21" s="378"/>
      <c r="M21" s="379"/>
      <c r="N21" s="459">
        <f t="shared" si="1"/>
        <v>99.977526315789461</v>
      </c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</row>
    <row r="22" spans="1:33" s="57" customFormat="1" ht="12.75" customHeight="1">
      <c r="A22" s="60">
        <v>754</v>
      </c>
      <c r="B22" s="60"/>
      <c r="C22" s="65" t="s">
        <v>113</v>
      </c>
      <c r="D22" s="376">
        <f>D23</f>
        <v>3907112</v>
      </c>
      <c r="E22" s="376">
        <f t="shared" ref="E22:M22" si="5">E23</f>
        <v>1502734.88</v>
      </c>
      <c r="F22" s="376">
        <f t="shared" si="5"/>
        <v>1502734.88</v>
      </c>
      <c r="G22" s="376">
        <f t="shared" si="5"/>
        <v>1217319.75</v>
      </c>
      <c r="H22" s="376">
        <f t="shared" si="5"/>
        <v>226586.46999999988</v>
      </c>
      <c r="I22" s="376">
        <f t="shared" si="5"/>
        <v>0</v>
      </c>
      <c r="J22" s="376">
        <f t="shared" si="5"/>
        <v>58828.66</v>
      </c>
      <c r="K22" s="376">
        <f t="shared" si="5"/>
        <v>0</v>
      </c>
      <c r="L22" s="376">
        <f t="shared" si="5"/>
        <v>0</v>
      </c>
      <c r="M22" s="376">
        <f t="shared" si="5"/>
        <v>0</v>
      </c>
      <c r="N22" s="381">
        <f t="shared" si="1"/>
        <v>38.461525546234661</v>
      </c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</row>
    <row r="23" spans="1:33" s="86" customFormat="1" ht="12" customHeight="1">
      <c r="A23" s="78"/>
      <c r="B23" s="70">
        <v>75411</v>
      </c>
      <c r="C23" s="67" t="s">
        <v>115</v>
      </c>
      <c r="D23" s="378">
        <v>3907112</v>
      </c>
      <c r="E23" s="378">
        <v>1502734.88</v>
      </c>
      <c r="F23" s="378">
        <f>E23</f>
        <v>1502734.88</v>
      </c>
      <c r="G23" s="378">
        <f>31410.86+4964.47+955329.87+65392.1+153536.68+5794.6+891.17</f>
        <v>1217319.75</v>
      </c>
      <c r="H23" s="378">
        <f>F23-G23-J23</f>
        <v>226586.46999999988</v>
      </c>
      <c r="I23" s="378"/>
      <c r="J23" s="378">
        <v>58828.66</v>
      </c>
      <c r="K23" s="378"/>
      <c r="L23" s="378"/>
      <c r="M23" s="379"/>
      <c r="N23" s="459">
        <f t="shared" si="1"/>
        <v>38.461525546234661</v>
      </c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</row>
    <row r="24" spans="1:33" s="57" customFormat="1" ht="13.5" customHeight="1">
      <c r="A24" s="60">
        <v>851</v>
      </c>
      <c r="B24" s="60"/>
      <c r="C24" s="73" t="s">
        <v>40</v>
      </c>
      <c r="D24" s="376">
        <f>D25</f>
        <v>2810000</v>
      </c>
      <c r="E24" s="376">
        <f t="shared" ref="E24:M24" si="6">E25</f>
        <v>1132409.02</v>
      </c>
      <c r="F24" s="376">
        <f t="shared" si="6"/>
        <v>1132409.02</v>
      </c>
      <c r="G24" s="376">
        <f t="shared" si="6"/>
        <v>0</v>
      </c>
      <c r="H24" s="376">
        <f t="shared" si="6"/>
        <v>1132409.02</v>
      </c>
      <c r="I24" s="376">
        <f t="shared" si="6"/>
        <v>0</v>
      </c>
      <c r="J24" s="376">
        <f t="shared" si="6"/>
        <v>0</v>
      </c>
      <c r="K24" s="376">
        <f t="shared" si="6"/>
        <v>0</v>
      </c>
      <c r="L24" s="376">
        <f t="shared" si="6"/>
        <v>0</v>
      </c>
      <c r="M24" s="376">
        <f t="shared" si="6"/>
        <v>0</v>
      </c>
      <c r="N24" s="381">
        <f t="shared" si="1"/>
        <v>40.299253380782915</v>
      </c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</row>
    <row r="25" spans="1:33" s="86" customFormat="1" ht="12">
      <c r="A25" s="78"/>
      <c r="B25" s="70">
        <v>85156</v>
      </c>
      <c r="C25" s="75" t="s">
        <v>94</v>
      </c>
      <c r="D25" s="378">
        <v>2810000</v>
      </c>
      <c r="E25" s="378">
        <v>1132409.02</v>
      </c>
      <c r="F25" s="378">
        <f>E25</f>
        <v>1132409.02</v>
      </c>
      <c r="G25" s="378"/>
      <c r="H25" s="378">
        <f>F25</f>
        <v>1132409.02</v>
      </c>
      <c r="I25" s="378"/>
      <c r="J25" s="378"/>
      <c r="K25" s="378"/>
      <c r="L25" s="378"/>
      <c r="M25" s="379"/>
      <c r="N25" s="459">
        <f t="shared" si="1"/>
        <v>40.299253380782915</v>
      </c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</row>
    <row r="26" spans="1:33" s="57" customFormat="1" ht="12">
      <c r="A26" s="60">
        <v>852</v>
      </c>
      <c r="B26" s="60"/>
      <c r="C26" s="65" t="s">
        <v>41</v>
      </c>
      <c r="D26" s="376">
        <f>SUM(D27:D28)</f>
        <v>692000</v>
      </c>
      <c r="E26" s="376">
        <f t="shared" ref="E26:M26" si="7">SUM(E27:E28)</f>
        <v>357850.49</v>
      </c>
      <c r="F26" s="376">
        <f t="shared" si="7"/>
        <v>357850.49</v>
      </c>
      <c r="G26" s="376">
        <f t="shared" si="7"/>
        <v>269201.91000000003</v>
      </c>
      <c r="H26" s="376">
        <f t="shared" si="7"/>
        <v>88643.34</v>
      </c>
      <c r="I26" s="376">
        <f t="shared" si="7"/>
        <v>0</v>
      </c>
      <c r="J26" s="376">
        <f t="shared" si="7"/>
        <v>5.24</v>
      </c>
      <c r="K26" s="376">
        <f t="shared" si="7"/>
        <v>0</v>
      </c>
      <c r="L26" s="376">
        <f t="shared" si="7"/>
        <v>0</v>
      </c>
      <c r="M26" s="376">
        <f t="shared" si="7"/>
        <v>0</v>
      </c>
      <c r="N26" s="381">
        <f t="shared" si="1"/>
        <v>51.712498554913289</v>
      </c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</row>
    <row r="27" spans="1:33" s="86" customFormat="1" ht="12">
      <c r="A27" s="569"/>
      <c r="B27" s="70">
        <v>85203</v>
      </c>
      <c r="C27" s="67" t="s">
        <v>97</v>
      </c>
      <c r="D27" s="378">
        <v>371500</v>
      </c>
      <c r="E27" s="378">
        <v>188017.11</v>
      </c>
      <c r="F27" s="380">
        <f>E27</f>
        <v>188017.11</v>
      </c>
      <c r="G27" s="380">
        <f>103375.01+16704.52+19705.2+2863.62+7500</f>
        <v>150148.35</v>
      </c>
      <c r="H27" s="378">
        <f>F27-G27</f>
        <v>37868.75999999998</v>
      </c>
      <c r="I27" s="378"/>
      <c r="J27" s="378"/>
      <c r="K27" s="378"/>
      <c r="L27" s="378"/>
      <c r="M27" s="379">
        <v>0</v>
      </c>
      <c r="N27" s="459">
        <f t="shared" si="1"/>
        <v>50.610258411843866</v>
      </c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</row>
    <row r="28" spans="1:33" s="86" customFormat="1" ht="22.5">
      <c r="A28" s="571"/>
      <c r="B28" s="70">
        <v>85205</v>
      </c>
      <c r="C28" s="261" t="s">
        <v>305</v>
      </c>
      <c r="D28" s="378">
        <v>320500</v>
      </c>
      <c r="E28" s="378">
        <v>169833.38</v>
      </c>
      <c r="F28" s="378">
        <f>E28</f>
        <v>169833.38</v>
      </c>
      <c r="G28" s="378">
        <f>73015.47+11431.72+14305.18+2292.19+18009</f>
        <v>119053.56</v>
      </c>
      <c r="H28" s="378">
        <f>F28-G28-J28</f>
        <v>50774.580000000009</v>
      </c>
      <c r="I28" s="378"/>
      <c r="J28" s="378">
        <v>5.24</v>
      </c>
      <c r="K28" s="378"/>
      <c r="L28" s="378"/>
      <c r="M28" s="379"/>
      <c r="N28" s="459">
        <f t="shared" si="1"/>
        <v>52.990134165366619</v>
      </c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</row>
    <row r="29" spans="1:33" s="57" customFormat="1" ht="15" customHeight="1">
      <c r="A29" s="60">
        <v>853</v>
      </c>
      <c r="B29" s="60"/>
      <c r="C29" s="65" t="s">
        <v>122</v>
      </c>
      <c r="D29" s="376">
        <f>D30+D31</f>
        <v>119643</v>
      </c>
      <c r="E29" s="376">
        <f t="shared" ref="E29:M29" si="8">E30+E31</f>
        <v>76288.209999999992</v>
      </c>
      <c r="F29" s="376">
        <f t="shared" si="8"/>
        <v>76288.209999999992</v>
      </c>
      <c r="G29" s="376">
        <f t="shared" si="8"/>
        <v>23881.800000000003</v>
      </c>
      <c r="H29" s="376">
        <f t="shared" si="8"/>
        <v>13015.599999999999</v>
      </c>
      <c r="I29" s="376">
        <f t="shared" si="8"/>
        <v>0</v>
      </c>
      <c r="J29" s="376">
        <f t="shared" si="8"/>
        <v>39390.81</v>
      </c>
      <c r="K29" s="376">
        <f t="shared" si="8"/>
        <v>0</v>
      </c>
      <c r="L29" s="376">
        <f t="shared" si="8"/>
        <v>0</v>
      </c>
      <c r="M29" s="376">
        <f t="shared" si="8"/>
        <v>0</v>
      </c>
      <c r="N29" s="381">
        <f t="shared" si="1"/>
        <v>63.763203864831198</v>
      </c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</row>
    <row r="30" spans="1:33" s="86" customFormat="1" ht="12" customHeight="1">
      <c r="A30" s="559"/>
      <c r="B30" s="62">
        <v>85321</v>
      </c>
      <c r="C30" s="67" t="s">
        <v>123</v>
      </c>
      <c r="D30" s="378">
        <v>78000</v>
      </c>
      <c r="E30" s="378">
        <v>36897.4</v>
      </c>
      <c r="F30" s="378">
        <f>E30</f>
        <v>36897.4</v>
      </c>
      <c r="G30" s="378">
        <f>16652+1932.84+2841.63+455.33+2000</f>
        <v>23881.800000000003</v>
      </c>
      <c r="H30" s="378">
        <f>F30-G30</f>
        <v>13015.599999999999</v>
      </c>
      <c r="I30" s="378"/>
      <c r="J30" s="378"/>
      <c r="K30" s="378"/>
      <c r="L30" s="378"/>
      <c r="M30" s="379"/>
      <c r="N30" s="459">
        <f t="shared" si="1"/>
        <v>47.304358974358976</v>
      </c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</row>
    <row r="31" spans="1:33" s="86" customFormat="1" ht="14.25" customHeight="1">
      <c r="A31" s="560"/>
      <c r="B31" s="62">
        <v>85334</v>
      </c>
      <c r="C31" s="74" t="s">
        <v>132</v>
      </c>
      <c r="D31" s="378">
        <v>41643</v>
      </c>
      <c r="E31" s="378">
        <v>39390.81</v>
      </c>
      <c r="F31" s="378">
        <f>E31</f>
        <v>39390.81</v>
      </c>
      <c r="G31" s="378"/>
      <c r="H31" s="378"/>
      <c r="I31" s="378"/>
      <c r="J31" s="378">
        <f>F31</f>
        <v>39390.81</v>
      </c>
      <c r="K31" s="378"/>
      <c r="L31" s="378"/>
      <c r="M31" s="379"/>
      <c r="N31" s="459">
        <f t="shared" si="1"/>
        <v>94.591672069735594</v>
      </c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</row>
    <row r="32" spans="1:33" s="57" customFormat="1" ht="12">
      <c r="A32" s="561" t="s">
        <v>32</v>
      </c>
      <c r="B32" s="562"/>
      <c r="C32" s="563"/>
      <c r="D32" s="377">
        <f>D11+D13+D15+D19+D22+D24+D26+D29</f>
        <v>8167128</v>
      </c>
      <c r="E32" s="377">
        <f t="shared" ref="E32:M32" si="9">E11+E13+E15+E19+E22+E24+E26+E29</f>
        <v>3302481.6799999997</v>
      </c>
      <c r="F32" s="377">
        <f t="shared" si="9"/>
        <v>3302481.6799999997</v>
      </c>
      <c r="G32" s="377">
        <f t="shared" si="9"/>
        <v>1721270.86</v>
      </c>
      <c r="H32" s="377">
        <f t="shared" si="9"/>
        <v>1480986.11</v>
      </c>
      <c r="I32" s="377">
        <f t="shared" si="9"/>
        <v>0</v>
      </c>
      <c r="J32" s="377">
        <f t="shared" si="9"/>
        <v>100224.70999999999</v>
      </c>
      <c r="K32" s="377">
        <f t="shared" si="9"/>
        <v>0</v>
      </c>
      <c r="L32" s="377">
        <f t="shared" si="9"/>
        <v>0</v>
      </c>
      <c r="M32" s="377">
        <f t="shared" si="9"/>
        <v>0</v>
      </c>
      <c r="N32" s="381">
        <f t="shared" si="1"/>
        <v>40.436266947205915</v>
      </c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</row>
  </sheetData>
  <mergeCells count="19">
    <mergeCell ref="A30:A31"/>
    <mergeCell ref="A32:C32"/>
    <mergeCell ref="N7:N9"/>
    <mergeCell ref="M8:M9"/>
    <mergeCell ref="F8:F9"/>
    <mergeCell ref="D7:D9"/>
    <mergeCell ref="F7:M7"/>
    <mergeCell ref="A7:A9"/>
    <mergeCell ref="B7:B9"/>
    <mergeCell ref="C7:C9"/>
    <mergeCell ref="E7:E9"/>
    <mergeCell ref="A16:A18"/>
    <mergeCell ref="A20:A21"/>
    <mergeCell ref="A27:A28"/>
    <mergeCell ref="D1:N1"/>
    <mergeCell ref="A2:N2"/>
    <mergeCell ref="A3:N3"/>
    <mergeCell ref="A4:N4"/>
    <mergeCell ref="A5:N5"/>
  </mergeCells>
  <phoneticPr fontId="0" type="noConversion"/>
  <pageMargins left="0.78740157480314965" right="0.19685039370078741" top="0.74803149606299213" bottom="0.78740157480314965" header="0.27559055118110237" footer="0.51181102362204722"/>
  <pageSetup paperSize="9" orientation="landscape" r:id="rId1"/>
  <headerFooter alignWithMargins="0">
    <oddFooter>&amp;C&amp;"Times New (W1),Normalny"Tabela Nr 11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AG16"/>
  <sheetViews>
    <sheetView view="pageLayout" workbookViewId="0">
      <selection activeCell="G30" sqref="G30"/>
    </sheetView>
  </sheetViews>
  <sheetFormatPr defaultRowHeight="12.75"/>
  <cols>
    <col min="1" max="1" width="5" customWidth="1"/>
    <col min="2" max="2" width="6.5703125" customWidth="1"/>
    <col min="3" max="3" width="21.5703125" customWidth="1"/>
    <col min="4" max="4" width="8.7109375" customWidth="1"/>
    <col min="5" max="5" width="7" customWidth="1"/>
    <col min="6" max="6" width="10" customWidth="1"/>
    <col min="7" max="7" width="12.7109375" customWidth="1"/>
    <col min="8" max="10" width="8.42578125" customWidth="1"/>
    <col min="11" max="11" width="11" customWidth="1"/>
    <col min="12" max="12" width="8.28515625" customWidth="1"/>
    <col min="13" max="13" width="8.140625" customWidth="1"/>
  </cols>
  <sheetData>
    <row r="1" spans="1:33">
      <c r="A1" s="42"/>
      <c r="B1" s="42"/>
      <c r="C1" s="42"/>
      <c r="D1" s="42"/>
      <c r="E1" s="42"/>
      <c r="F1" s="42"/>
      <c r="G1" s="42"/>
      <c r="H1" s="42"/>
      <c r="I1" s="42"/>
      <c r="J1" s="42"/>
      <c r="K1" s="515" t="s">
        <v>407</v>
      </c>
      <c r="L1" s="515"/>
      <c r="M1" s="515"/>
      <c r="N1" s="515"/>
    </row>
    <row r="2" spans="1:3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33">
      <c r="A3" s="484" t="s">
        <v>7</v>
      </c>
      <c r="B3" s="484"/>
      <c r="C3" s="484"/>
      <c r="D3" s="484"/>
      <c r="E3" s="484"/>
      <c r="F3" s="484"/>
      <c r="G3" s="484"/>
      <c r="H3" s="484"/>
      <c r="I3" s="484"/>
      <c r="J3" s="484"/>
      <c r="K3" s="484"/>
      <c r="L3" s="484"/>
      <c r="M3" s="484"/>
      <c r="N3" s="484"/>
    </row>
    <row r="4" spans="1:33">
      <c r="A4" s="484" t="s">
        <v>3</v>
      </c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</row>
    <row r="5" spans="1:33" ht="15.75" customHeight="1">
      <c r="A5" s="558" t="s">
        <v>6</v>
      </c>
      <c r="B5" s="558"/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558"/>
      <c r="N5" s="558"/>
    </row>
    <row r="6" spans="1:33">
      <c r="A6" s="484" t="s">
        <v>306</v>
      </c>
      <c r="B6" s="484"/>
      <c r="C6" s="484"/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</row>
    <row r="7" spans="1:33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</row>
    <row r="8" spans="1:33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 t="s">
        <v>155</v>
      </c>
    </row>
    <row r="9" spans="1:33" s="6" customFormat="1" ht="12.75" customHeight="1">
      <c r="A9" s="485" t="s">
        <v>0</v>
      </c>
      <c r="B9" s="485" t="s">
        <v>8</v>
      </c>
      <c r="C9" s="485" t="s">
        <v>1</v>
      </c>
      <c r="D9" s="485" t="s">
        <v>176</v>
      </c>
      <c r="E9" s="485" t="s">
        <v>134</v>
      </c>
      <c r="F9" s="567" t="s">
        <v>163</v>
      </c>
      <c r="G9" s="568"/>
      <c r="H9" s="568"/>
      <c r="I9" s="568"/>
      <c r="J9" s="568"/>
      <c r="K9" s="568"/>
      <c r="L9" s="568"/>
      <c r="M9" s="568"/>
      <c r="N9" s="564" t="s">
        <v>131</v>
      </c>
    </row>
    <row r="10" spans="1:33" s="6" customFormat="1" ht="12.75" customHeight="1">
      <c r="A10" s="486"/>
      <c r="B10" s="486"/>
      <c r="C10" s="486"/>
      <c r="D10" s="486"/>
      <c r="E10" s="486"/>
      <c r="F10" s="485" t="s">
        <v>9</v>
      </c>
      <c r="G10" s="87" t="s">
        <v>10</v>
      </c>
      <c r="H10" s="87"/>
      <c r="I10" s="87"/>
      <c r="J10" s="87"/>
      <c r="K10" s="87"/>
      <c r="L10" s="88"/>
      <c r="M10" s="565" t="s">
        <v>162</v>
      </c>
      <c r="N10" s="564"/>
    </row>
    <row r="11" spans="1:33" s="6" customFormat="1" ht="36" customHeight="1">
      <c r="A11" s="487"/>
      <c r="B11" s="487"/>
      <c r="C11" s="487"/>
      <c r="D11" s="487"/>
      <c r="E11" s="487"/>
      <c r="F11" s="487"/>
      <c r="G11" s="157" t="s">
        <v>307</v>
      </c>
      <c r="H11" s="157" t="s">
        <v>311</v>
      </c>
      <c r="I11" s="157" t="s">
        <v>308</v>
      </c>
      <c r="J11" s="157" t="s">
        <v>309</v>
      </c>
      <c r="K11" s="346" t="s">
        <v>310</v>
      </c>
      <c r="L11" s="157" t="s">
        <v>11</v>
      </c>
      <c r="M11" s="566"/>
      <c r="N11" s="564"/>
    </row>
    <row r="12" spans="1:33" s="80" customFormat="1" ht="11.25">
      <c r="A12" s="58">
        <v>1</v>
      </c>
      <c r="B12" s="58">
        <v>2</v>
      </c>
      <c r="C12" s="58">
        <v>3</v>
      </c>
      <c r="D12" s="58">
        <v>4</v>
      </c>
      <c r="E12" s="58">
        <v>5</v>
      </c>
      <c r="F12" s="58">
        <v>6</v>
      </c>
      <c r="G12" s="58">
        <v>7</v>
      </c>
      <c r="H12" s="58">
        <v>8</v>
      </c>
      <c r="I12" s="266">
        <v>9</v>
      </c>
      <c r="J12" s="266">
        <v>10</v>
      </c>
      <c r="K12" s="266">
        <v>11</v>
      </c>
      <c r="L12" s="266">
        <v>12</v>
      </c>
      <c r="M12" s="266">
        <v>13</v>
      </c>
      <c r="N12" s="266">
        <v>14</v>
      </c>
    </row>
    <row r="13" spans="1:33" s="57" customFormat="1" ht="12">
      <c r="A13" s="60">
        <v>750</v>
      </c>
      <c r="B13" s="60"/>
      <c r="C13" s="65" t="s">
        <v>37</v>
      </c>
      <c r="D13" s="66">
        <f>D14</f>
        <v>1000</v>
      </c>
      <c r="E13" s="173">
        <f>E14</f>
        <v>0</v>
      </c>
      <c r="F13" s="173">
        <f>F14</f>
        <v>0</v>
      </c>
      <c r="G13" s="89"/>
      <c r="H13" s="89"/>
      <c r="I13" s="89"/>
      <c r="J13" s="89"/>
      <c r="K13" s="89"/>
      <c r="L13" s="89"/>
      <c r="M13" s="89"/>
      <c r="N13" s="178">
        <f>(F13+M13)/D13*100</f>
        <v>0</v>
      </c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</row>
    <row r="14" spans="1:33" s="86" customFormat="1" ht="12">
      <c r="A14" s="78"/>
      <c r="B14" s="70">
        <v>75045</v>
      </c>
      <c r="C14" s="67" t="s">
        <v>84</v>
      </c>
      <c r="D14" s="72">
        <v>1000</v>
      </c>
      <c r="E14" s="174">
        <v>0</v>
      </c>
      <c r="F14" s="174">
        <v>0</v>
      </c>
      <c r="G14" s="90"/>
      <c r="H14" s="91"/>
      <c r="I14" s="91"/>
      <c r="J14" s="91"/>
      <c r="K14" s="91"/>
      <c r="L14" s="91"/>
      <c r="M14" s="92"/>
      <c r="N14" s="179">
        <f>(F14+M14)/D14*100</f>
        <v>0</v>
      </c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</row>
    <row r="15" spans="1:33" s="57" customFormat="1" ht="12">
      <c r="A15" s="527" t="s">
        <v>32</v>
      </c>
      <c r="B15" s="527"/>
      <c r="C15" s="527"/>
      <c r="D15" s="55">
        <f>D13</f>
        <v>1000</v>
      </c>
      <c r="E15" s="175">
        <f>E13</f>
        <v>0</v>
      </c>
      <c r="F15" s="175">
        <f>F13</f>
        <v>0</v>
      </c>
      <c r="G15" s="93"/>
      <c r="H15" s="93"/>
      <c r="I15" s="93"/>
      <c r="J15" s="93"/>
      <c r="K15" s="93"/>
      <c r="L15" s="93"/>
      <c r="M15" s="93"/>
      <c r="N15" s="178">
        <f>(F15+M15)/D15*100</f>
        <v>0</v>
      </c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</row>
    <row r="16" spans="1:33">
      <c r="G16" s="39"/>
    </row>
  </sheetData>
  <mergeCells count="15">
    <mergeCell ref="A15:C15"/>
    <mergeCell ref="N9:N11"/>
    <mergeCell ref="M10:M11"/>
    <mergeCell ref="F10:F11"/>
    <mergeCell ref="F9:M9"/>
    <mergeCell ref="A9:A11"/>
    <mergeCell ref="B9:B11"/>
    <mergeCell ref="C9:C11"/>
    <mergeCell ref="K1:N1"/>
    <mergeCell ref="D9:D11"/>
    <mergeCell ref="A3:N3"/>
    <mergeCell ref="A4:N4"/>
    <mergeCell ref="A5:N5"/>
    <mergeCell ref="A6:N6"/>
    <mergeCell ref="E9:E11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landscape" r:id="rId1"/>
  <headerFooter alignWithMargins="0">
    <oddFooter>&amp;C&amp;"Times New (W1),Normalny"Tabela Nr 12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E26"/>
  <sheetViews>
    <sheetView view="pageLayout" workbookViewId="0">
      <selection activeCell="E23" sqref="E23"/>
    </sheetView>
  </sheetViews>
  <sheetFormatPr defaultRowHeight="12.75"/>
  <cols>
    <col min="1" max="1" width="7.140625" customWidth="1"/>
    <col min="2" max="2" width="33.42578125" customWidth="1"/>
    <col min="3" max="3" width="10.5703125" customWidth="1"/>
    <col min="4" max="4" width="15.7109375" customWidth="1"/>
    <col min="5" max="5" width="14.5703125" customWidth="1"/>
  </cols>
  <sheetData>
    <row r="1" spans="1:5">
      <c r="A1" s="382"/>
      <c r="B1" s="382"/>
      <c r="C1" s="382"/>
      <c r="D1" s="382"/>
      <c r="E1" s="383" t="s">
        <v>408</v>
      </c>
    </row>
    <row r="2" spans="1:5" ht="15.75">
      <c r="A2" s="540" t="s">
        <v>316</v>
      </c>
      <c r="B2" s="572"/>
      <c r="C2" s="572"/>
      <c r="D2" s="572"/>
      <c r="E2" s="572"/>
    </row>
    <row r="3" spans="1:5" ht="15.75">
      <c r="A3" s="572" t="s">
        <v>317</v>
      </c>
      <c r="B3" s="572"/>
      <c r="C3" s="572"/>
      <c r="D3" s="572"/>
      <c r="E3" s="572"/>
    </row>
    <row r="4" spans="1:5" ht="15.75">
      <c r="A4" s="572" t="s">
        <v>318</v>
      </c>
      <c r="B4" s="572"/>
      <c r="C4" s="572"/>
      <c r="D4" s="572"/>
      <c r="E4" s="572"/>
    </row>
    <row r="5" spans="1:5">
      <c r="A5" s="382"/>
      <c r="B5" s="382"/>
      <c r="C5" s="382"/>
      <c r="D5" s="382"/>
      <c r="E5" s="384" t="s">
        <v>184</v>
      </c>
    </row>
    <row r="6" spans="1:5" ht="38.25">
      <c r="A6" s="385" t="s">
        <v>217</v>
      </c>
      <c r="B6" s="385" t="s">
        <v>175</v>
      </c>
      <c r="C6" s="386" t="s">
        <v>319</v>
      </c>
      <c r="D6" s="386" t="s">
        <v>143</v>
      </c>
      <c r="E6" s="386" t="s">
        <v>350</v>
      </c>
    </row>
    <row r="7" spans="1:5">
      <c r="A7" s="387">
        <v>1</v>
      </c>
      <c r="B7" s="387">
        <v>2</v>
      </c>
      <c r="C7" s="387">
        <v>3</v>
      </c>
      <c r="D7" s="387">
        <v>4</v>
      </c>
      <c r="E7" s="387">
        <v>5</v>
      </c>
    </row>
    <row r="8" spans="1:5">
      <c r="A8" s="573" t="s">
        <v>320</v>
      </c>
      <c r="B8" s="573"/>
      <c r="C8" s="388"/>
      <c r="D8" s="408">
        <f>D9+D16</f>
        <v>15841796.189999999</v>
      </c>
      <c r="E8" s="389">
        <f>E9+E16</f>
        <v>1565336.73</v>
      </c>
    </row>
    <row r="9" spans="1:5">
      <c r="A9" s="390" t="s">
        <v>235</v>
      </c>
      <c r="B9" s="391" t="s">
        <v>321</v>
      </c>
      <c r="C9" s="390" t="s">
        <v>322</v>
      </c>
      <c r="D9" s="404">
        <v>14931251.529999999</v>
      </c>
      <c r="E9" s="392">
        <v>654792.06999999995</v>
      </c>
    </row>
    <row r="10" spans="1:5">
      <c r="A10" s="393" t="s">
        <v>244</v>
      </c>
      <c r="B10" s="394" t="s">
        <v>323</v>
      </c>
      <c r="C10" s="393" t="s">
        <v>322</v>
      </c>
      <c r="D10" s="405"/>
      <c r="E10" s="395"/>
    </row>
    <row r="11" spans="1:5" ht="38.25">
      <c r="A11" s="393" t="s">
        <v>245</v>
      </c>
      <c r="B11" s="396" t="s">
        <v>349</v>
      </c>
      <c r="C11" s="393" t="s">
        <v>324</v>
      </c>
      <c r="D11" s="405"/>
      <c r="E11" s="395"/>
    </row>
    <row r="12" spans="1:5">
      <c r="A12" s="393" t="s">
        <v>275</v>
      </c>
      <c r="B12" s="394" t="s">
        <v>325</v>
      </c>
      <c r="C12" s="393" t="s">
        <v>326</v>
      </c>
      <c r="D12" s="405"/>
      <c r="E12" s="395"/>
    </row>
    <row r="13" spans="1:5">
      <c r="A13" s="393" t="s">
        <v>276</v>
      </c>
      <c r="B13" s="394" t="s">
        <v>327</v>
      </c>
      <c r="C13" s="393" t="s">
        <v>328</v>
      </c>
      <c r="D13" s="405"/>
      <c r="E13" s="395"/>
    </row>
    <row r="14" spans="1:5">
      <c r="A14" s="393" t="s">
        <v>277</v>
      </c>
      <c r="B14" s="394" t="s">
        <v>329</v>
      </c>
      <c r="C14" s="393" t="s">
        <v>330</v>
      </c>
      <c r="D14" s="405"/>
      <c r="E14" s="395"/>
    </row>
    <row r="15" spans="1:5">
      <c r="A15" s="393" t="s">
        <v>278</v>
      </c>
      <c r="B15" s="394" t="s">
        <v>331</v>
      </c>
      <c r="C15" s="393" t="s">
        <v>332</v>
      </c>
      <c r="D15" s="405"/>
      <c r="E15" s="395"/>
    </row>
    <row r="16" spans="1:5">
      <c r="A16" s="393" t="s">
        <v>279</v>
      </c>
      <c r="B16" s="397" t="s">
        <v>333</v>
      </c>
      <c r="C16" s="398" t="s">
        <v>334</v>
      </c>
      <c r="D16" s="406">
        <v>910544.66</v>
      </c>
      <c r="E16" s="399">
        <v>910544.66</v>
      </c>
    </row>
    <row r="17" spans="1:5">
      <c r="A17" s="573" t="s">
        <v>335</v>
      </c>
      <c r="B17" s="573"/>
      <c r="C17" s="388"/>
      <c r="D17" s="407">
        <f>D18+D23</f>
        <v>1450000</v>
      </c>
      <c r="E17" s="389">
        <f>E18+E19+E23</f>
        <v>700000</v>
      </c>
    </row>
    <row r="18" spans="1:5">
      <c r="A18" s="390" t="s">
        <v>235</v>
      </c>
      <c r="B18" s="391" t="s">
        <v>336</v>
      </c>
      <c r="C18" s="390" t="s">
        <v>337</v>
      </c>
      <c r="D18" s="404">
        <v>950000</v>
      </c>
      <c r="E18" s="392">
        <v>200000</v>
      </c>
    </row>
    <row r="19" spans="1:5">
      <c r="A19" s="393" t="s">
        <v>244</v>
      </c>
      <c r="B19" s="394" t="s">
        <v>338</v>
      </c>
      <c r="C19" s="393" t="s">
        <v>337</v>
      </c>
      <c r="D19" s="405"/>
      <c r="E19" s="395">
        <v>0</v>
      </c>
    </row>
    <row r="20" spans="1:5" ht="51">
      <c r="A20" s="393" t="s">
        <v>245</v>
      </c>
      <c r="B20" s="396" t="s">
        <v>339</v>
      </c>
      <c r="C20" s="393" t="s">
        <v>340</v>
      </c>
      <c r="D20" s="405"/>
      <c r="E20" s="395"/>
    </row>
    <row r="21" spans="1:5">
      <c r="A21" s="393" t="s">
        <v>275</v>
      </c>
      <c r="B21" s="394" t="s">
        <v>341</v>
      </c>
      <c r="C21" s="393" t="s">
        <v>342</v>
      </c>
      <c r="D21" s="405"/>
      <c r="E21" s="395"/>
    </row>
    <row r="22" spans="1:5">
      <c r="A22" s="393" t="s">
        <v>276</v>
      </c>
      <c r="B22" s="394" t="s">
        <v>343</v>
      </c>
      <c r="C22" s="393" t="s">
        <v>344</v>
      </c>
      <c r="D22" s="405"/>
      <c r="E22" s="395"/>
    </row>
    <row r="23" spans="1:5" ht="25.5">
      <c r="A23" s="393" t="s">
        <v>277</v>
      </c>
      <c r="B23" s="396" t="s">
        <v>345</v>
      </c>
      <c r="C23" s="393" t="s">
        <v>346</v>
      </c>
      <c r="D23" s="405">
        <v>500000</v>
      </c>
      <c r="E23" s="395">
        <v>500000</v>
      </c>
    </row>
    <row r="24" spans="1:5">
      <c r="A24" s="398" t="s">
        <v>278</v>
      </c>
      <c r="B24" s="397" t="s">
        <v>347</v>
      </c>
      <c r="C24" s="398" t="s">
        <v>348</v>
      </c>
      <c r="D24" s="406"/>
      <c r="E24" s="399"/>
    </row>
    <row r="25" spans="1:5">
      <c r="A25" s="400"/>
      <c r="B25" s="401"/>
      <c r="C25" s="401"/>
      <c r="D25" s="401"/>
      <c r="E25" s="401"/>
    </row>
    <row r="26" spans="1:5">
      <c r="A26" s="402"/>
      <c r="B26" s="403"/>
      <c r="C26" s="403"/>
      <c r="D26" s="403"/>
      <c r="E26" s="403"/>
    </row>
  </sheetData>
  <mergeCells count="5">
    <mergeCell ref="A2:E2"/>
    <mergeCell ref="A3:E3"/>
    <mergeCell ref="A4:E4"/>
    <mergeCell ref="A8:B8"/>
    <mergeCell ref="A17:B17"/>
  </mergeCells>
  <pageMargins left="0.7" right="0.7" top="0.75" bottom="0.75" header="0.3" footer="0.3"/>
  <pageSetup paperSize="9" orientation="portrait" r:id="rId1"/>
  <headerFooter>
    <oddFooter>&amp;CTabela Nr 13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F35"/>
  <sheetViews>
    <sheetView view="pageLayout" workbookViewId="0">
      <selection activeCell="D18" sqref="D18"/>
    </sheetView>
  </sheetViews>
  <sheetFormatPr defaultRowHeight="12.75"/>
  <cols>
    <col min="1" max="1" width="7" customWidth="1"/>
    <col min="2" max="2" width="7.42578125" customWidth="1"/>
    <col min="3" max="3" width="36.42578125" customWidth="1"/>
    <col min="4" max="4" width="14.85546875" customWidth="1"/>
    <col min="5" max="5" width="13.140625" customWidth="1"/>
    <col min="6" max="6" width="7.85546875" customWidth="1"/>
  </cols>
  <sheetData>
    <row r="1" spans="1:6">
      <c r="E1" s="535" t="s">
        <v>410</v>
      </c>
      <c r="F1" s="535"/>
    </row>
    <row r="3" spans="1:6" ht="15.75" customHeight="1">
      <c r="A3" s="576" t="s">
        <v>230</v>
      </c>
      <c r="B3" s="576"/>
      <c r="C3" s="576"/>
      <c r="D3" s="576"/>
      <c r="E3" s="576"/>
      <c r="F3" s="576"/>
    </row>
    <row r="4" spans="1:6" ht="15.75" customHeight="1">
      <c r="A4" s="576" t="s">
        <v>241</v>
      </c>
      <c r="B4" s="576"/>
      <c r="C4" s="576"/>
      <c r="D4" s="576"/>
      <c r="E4" s="576"/>
      <c r="F4" s="576"/>
    </row>
    <row r="5" spans="1:6" ht="15.75" customHeight="1">
      <c r="A5" s="577" t="s">
        <v>240</v>
      </c>
      <c r="B5" s="577"/>
      <c r="C5" s="577"/>
      <c r="D5" s="577"/>
      <c r="E5" s="577"/>
      <c r="F5" s="577"/>
    </row>
    <row r="6" spans="1:6" ht="15.75" customHeight="1">
      <c r="A6" s="577" t="s">
        <v>306</v>
      </c>
      <c r="B6" s="577"/>
      <c r="C6" s="577"/>
      <c r="D6" s="577"/>
      <c r="E6" s="577"/>
      <c r="F6" s="577"/>
    </row>
    <row r="7" spans="1:6">
      <c r="A7" s="143"/>
      <c r="B7" s="143"/>
      <c r="C7" s="143"/>
      <c r="E7" s="142" t="s">
        <v>184</v>
      </c>
    </row>
    <row r="8" spans="1:6">
      <c r="A8" s="574" t="s">
        <v>217</v>
      </c>
      <c r="B8" s="574" t="s">
        <v>69</v>
      </c>
      <c r="C8" s="183" t="s">
        <v>242</v>
      </c>
      <c r="D8" s="574" t="s">
        <v>312</v>
      </c>
      <c r="E8" s="574" t="s">
        <v>134</v>
      </c>
      <c r="F8" s="575" t="s">
        <v>144</v>
      </c>
    </row>
    <row r="9" spans="1:6">
      <c r="A9" s="574"/>
      <c r="B9" s="574"/>
      <c r="C9" s="166" t="s">
        <v>243</v>
      </c>
      <c r="D9" s="574"/>
      <c r="E9" s="574"/>
      <c r="F9" s="575"/>
    </row>
    <row r="10" spans="1:6">
      <c r="A10" s="49">
        <v>1</v>
      </c>
      <c r="B10" s="49">
        <v>2</v>
      </c>
      <c r="C10" s="49">
        <v>3</v>
      </c>
      <c r="D10" s="49">
        <v>4</v>
      </c>
      <c r="E10" s="49">
        <v>5</v>
      </c>
      <c r="F10" s="49">
        <v>6</v>
      </c>
    </row>
    <row r="11" spans="1:6">
      <c r="A11" s="144" t="s">
        <v>231</v>
      </c>
      <c r="B11" s="144" t="s">
        <v>232</v>
      </c>
      <c r="C11" s="184" t="s">
        <v>233</v>
      </c>
      <c r="D11" s="362">
        <v>145982.49</v>
      </c>
      <c r="E11" s="176">
        <v>145982.49</v>
      </c>
      <c r="F11" s="366">
        <f>E11/D11*100</f>
        <v>100</v>
      </c>
    </row>
    <row r="12" spans="1:6">
      <c r="A12" s="145"/>
      <c r="B12" s="145"/>
      <c r="C12" s="183"/>
      <c r="D12" s="363"/>
      <c r="E12" s="126"/>
      <c r="F12" s="95"/>
    </row>
    <row r="13" spans="1:6">
      <c r="A13" s="144" t="s">
        <v>234</v>
      </c>
      <c r="B13" s="144" t="s">
        <v>232</v>
      </c>
      <c r="C13" s="184" t="s">
        <v>17</v>
      </c>
      <c r="D13" s="127">
        <f>D15+D16+D17</f>
        <v>487500</v>
      </c>
      <c r="E13" s="176">
        <f>E14+E15+E16+E17</f>
        <v>233028.61000000002</v>
      </c>
      <c r="F13" s="366">
        <f>E13/D13*100</f>
        <v>47.800740512820518</v>
      </c>
    </row>
    <row r="14" spans="1:6">
      <c r="A14" s="272"/>
      <c r="B14" s="186" t="s">
        <v>43</v>
      </c>
      <c r="C14" s="183" t="s">
        <v>44</v>
      </c>
      <c r="D14" s="127"/>
      <c r="E14" s="126">
        <v>132</v>
      </c>
      <c r="F14" s="367"/>
    </row>
    <row r="15" spans="1:6">
      <c r="A15" s="272"/>
      <c r="B15" s="186" t="s">
        <v>61</v>
      </c>
      <c r="C15" s="183" t="s">
        <v>63</v>
      </c>
      <c r="D15" s="364">
        <v>450000</v>
      </c>
      <c r="E15" s="126">
        <v>190602.94</v>
      </c>
      <c r="F15" s="367">
        <f>E15/D15*100</f>
        <v>42.356208888888894</v>
      </c>
    </row>
    <row r="16" spans="1:6">
      <c r="A16" s="358"/>
      <c r="B16" s="186" t="s">
        <v>55</v>
      </c>
      <c r="C16" s="183" t="s">
        <v>65</v>
      </c>
      <c r="D16" s="364">
        <v>7500</v>
      </c>
      <c r="E16" s="126">
        <v>2293.67</v>
      </c>
      <c r="F16" s="367">
        <f>E16/D16*100</f>
        <v>30.582266666666669</v>
      </c>
    </row>
    <row r="17" spans="1:6">
      <c r="A17" s="358"/>
      <c r="B17" s="145">
        <v>2960</v>
      </c>
      <c r="C17" s="183" t="s">
        <v>246</v>
      </c>
      <c r="D17" s="364">
        <v>30000</v>
      </c>
      <c r="E17" s="126">
        <v>40000</v>
      </c>
      <c r="F17" s="367">
        <f>E17/D17*100</f>
        <v>133.33333333333331</v>
      </c>
    </row>
    <row r="18" spans="1:6">
      <c r="A18" s="145"/>
      <c r="B18" s="183"/>
      <c r="C18" s="183"/>
      <c r="D18" s="363"/>
      <c r="E18" s="126"/>
      <c r="F18" s="367"/>
    </row>
    <row r="19" spans="1:6">
      <c r="A19" s="144" t="s">
        <v>236</v>
      </c>
      <c r="B19" s="144" t="s">
        <v>232</v>
      </c>
      <c r="C19" s="184" t="s">
        <v>237</v>
      </c>
      <c r="D19" s="127">
        <f>D20+D33</f>
        <v>633482.49</v>
      </c>
      <c r="E19" s="176">
        <f>E20+E33</f>
        <v>231715.25000000003</v>
      </c>
      <c r="F19" s="366">
        <f t="shared" ref="F19:F34" si="0">E19/D19*100</f>
        <v>36.57800391609878</v>
      </c>
    </row>
    <row r="20" spans="1:6">
      <c r="A20" s="144">
        <v>1</v>
      </c>
      <c r="B20" s="144"/>
      <c r="C20" s="184" t="s">
        <v>9</v>
      </c>
      <c r="D20" s="127">
        <f>SUM(D21:D32)</f>
        <v>569482.49</v>
      </c>
      <c r="E20" s="176">
        <f>SUM(E21:E32)</f>
        <v>175715.25000000003</v>
      </c>
      <c r="F20" s="366">
        <f t="shared" si="0"/>
        <v>30.855250703142783</v>
      </c>
    </row>
    <row r="21" spans="1:6" ht="38.25">
      <c r="A21" s="272"/>
      <c r="B21" s="145">
        <v>2440</v>
      </c>
      <c r="C21" s="51" t="s">
        <v>247</v>
      </c>
      <c r="D21" s="363">
        <v>176805</v>
      </c>
      <c r="E21" s="126">
        <v>49305</v>
      </c>
      <c r="F21" s="367">
        <f t="shared" si="0"/>
        <v>27.886654789174514</v>
      </c>
    </row>
    <row r="22" spans="1:6">
      <c r="A22" s="272"/>
      <c r="B22" s="145">
        <v>2960</v>
      </c>
      <c r="C22" s="51" t="s">
        <v>246</v>
      </c>
      <c r="D22" s="364">
        <v>90000</v>
      </c>
      <c r="E22" s="126">
        <v>38120.6</v>
      </c>
      <c r="F22" s="367">
        <f t="shared" si="0"/>
        <v>42.356222222222222</v>
      </c>
    </row>
    <row r="23" spans="1:6">
      <c r="A23" s="272"/>
      <c r="B23" s="272">
        <v>4110</v>
      </c>
      <c r="C23" s="183" t="s">
        <v>188</v>
      </c>
      <c r="D23" s="364">
        <v>1200</v>
      </c>
      <c r="E23" s="126">
        <v>271.8</v>
      </c>
      <c r="F23" s="367">
        <f t="shared" si="0"/>
        <v>22.650000000000002</v>
      </c>
    </row>
    <row r="24" spans="1:6">
      <c r="A24" s="272"/>
      <c r="B24" s="272">
        <v>4120</v>
      </c>
      <c r="C24" s="183" t="s">
        <v>193</v>
      </c>
      <c r="D24" s="364">
        <v>150</v>
      </c>
      <c r="E24" s="126">
        <v>44.12</v>
      </c>
      <c r="F24" s="367">
        <f t="shared" si="0"/>
        <v>29.41333333333333</v>
      </c>
    </row>
    <row r="25" spans="1:6">
      <c r="A25" s="272"/>
      <c r="B25" s="145">
        <v>4170</v>
      </c>
      <c r="C25" s="51" t="s">
        <v>189</v>
      </c>
      <c r="D25" s="364">
        <v>17400</v>
      </c>
      <c r="E25" s="126">
        <v>5935.31</v>
      </c>
      <c r="F25" s="367">
        <f t="shared" si="0"/>
        <v>34.110977011494256</v>
      </c>
    </row>
    <row r="26" spans="1:6">
      <c r="A26" s="272"/>
      <c r="B26" s="145">
        <v>4210</v>
      </c>
      <c r="C26" s="51" t="s">
        <v>190</v>
      </c>
      <c r="D26" s="364">
        <v>15000</v>
      </c>
      <c r="E26" s="126">
        <v>9434.84</v>
      </c>
      <c r="F26" s="367">
        <f t="shared" si="0"/>
        <v>62.898933333333332</v>
      </c>
    </row>
    <row r="27" spans="1:6">
      <c r="A27" s="272"/>
      <c r="B27" s="145">
        <v>4270</v>
      </c>
      <c r="C27" s="51" t="s">
        <v>191</v>
      </c>
      <c r="D27" s="364">
        <v>4000</v>
      </c>
      <c r="E27" s="128">
        <v>1012.6</v>
      </c>
      <c r="F27" s="367">
        <f t="shared" si="0"/>
        <v>25.314999999999998</v>
      </c>
    </row>
    <row r="28" spans="1:6">
      <c r="A28" s="272"/>
      <c r="B28" s="145">
        <v>4300</v>
      </c>
      <c r="C28" s="51" t="s">
        <v>186</v>
      </c>
      <c r="D28" s="364">
        <v>234627.49</v>
      </c>
      <c r="E28" s="128">
        <v>65590.880000000005</v>
      </c>
      <c r="F28" s="367">
        <f t="shared" si="0"/>
        <v>27.955326121419112</v>
      </c>
    </row>
    <row r="29" spans="1:6">
      <c r="A29" s="272"/>
      <c r="B29" s="145">
        <v>4610</v>
      </c>
      <c r="C29" s="287" t="s">
        <v>187</v>
      </c>
      <c r="D29" s="364">
        <v>300</v>
      </c>
      <c r="E29" s="365">
        <v>4.37</v>
      </c>
      <c r="F29" s="367">
        <f t="shared" si="0"/>
        <v>1.4566666666666668</v>
      </c>
    </row>
    <row r="30" spans="1:6" ht="25.5">
      <c r="A30" s="272"/>
      <c r="B30" s="145">
        <v>4700</v>
      </c>
      <c r="C30" s="51" t="s">
        <v>192</v>
      </c>
      <c r="D30" s="364">
        <v>8000</v>
      </c>
      <c r="E30" s="128">
        <v>1470</v>
      </c>
      <c r="F30" s="367">
        <f t="shared" si="0"/>
        <v>18.375</v>
      </c>
    </row>
    <row r="31" spans="1:6" ht="25.5">
      <c r="A31" s="272"/>
      <c r="B31" s="145">
        <v>4740</v>
      </c>
      <c r="C31" s="51" t="s">
        <v>248</v>
      </c>
      <c r="D31" s="364">
        <v>13000</v>
      </c>
      <c r="E31" s="128">
        <v>3422.45</v>
      </c>
      <c r="F31" s="367">
        <f t="shared" si="0"/>
        <v>26.326538461538462</v>
      </c>
    </row>
    <row r="32" spans="1:6" ht="25.5">
      <c r="A32" s="272"/>
      <c r="B32" s="145">
        <v>4750</v>
      </c>
      <c r="C32" s="51" t="s">
        <v>249</v>
      </c>
      <c r="D32" s="364">
        <v>9000</v>
      </c>
      <c r="E32" s="128">
        <v>1103.28</v>
      </c>
      <c r="F32" s="367">
        <f t="shared" si="0"/>
        <v>12.258666666666667</v>
      </c>
    </row>
    <row r="33" spans="1:6">
      <c r="A33" s="144">
        <v>2</v>
      </c>
      <c r="B33" s="184"/>
      <c r="C33" s="184" t="s">
        <v>162</v>
      </c>
      <c r="D33" s="362">
        <f>D34</f>
        <v>64000</v>
      </c>
      <c r="E33" s="185">
        <f>E34</f>
        <v>56000</v>
      </c>
      <c r="F33" s="368">
        <v>0</v>
      </c>
    </row>
    <row r="34" spans="1:6">
      <c r="A34" s="272"/>
      <c r="B34" s="271">
        <v>6120</v>
      </c>
      <c r="C34" s="183" t="s">
        <v>280</v>
      </c>
      <c r="D34" s="363">
        <v>64000</v>
      </c>
      <c r="E34" s="188">
        <v>56000</v>
      </c>
      <c r="F34" s="367">
        <f t="shared" si="0"/>
        <v>87.5</v>
      </c>
    </row>
    <row r="35" spans="1:6">
      <c r="A35" s="144" t="s">
        <v>238</v>
      </c>
      <c r="B35" s="144" t="s">
        <v>232</v>
      </c>
      <c r="C35" s="184" t="s">
        <v>239</v>
      </c>
      <c r="D35" s="362">
        <v>0</v>
      </c>
      <c r="E35" s="189">
        <v>147295.85</v>
      </c>
      <c r="F35" s="366">
        <v>0</v>
      </c>
    </row>
  </sheetData>
  <mergeCells count="10">
    <mergeCell ref="E1:F1"/>
    <mergeCell ref="A3:F3"/>
    <mergeCell ref="A4:F4"/>
    <mergeCell ref="A5:F5"/>
    <mergeCell ref="A6:F6"/>
    <mergeCell ref="E8:E9"/>
    <mergeCell ref="F8:F9"/>
    <mergeCell ref="A8:A9"/>
    <mergeCell ref="B8:B9"/>
    <mergeCell ref="D8:D9"/>
  </mergeCells>
  <pageMargins left="0.8125" right="0.7" top="0.75" bottom="0.75" header="0.3" footer="0.3"/>
  <pageSetup paperSize="9" orientation="portrait" r:id="rId1"/>
  <headerFooter>
    <oddFooter>&amp;C&amp;"Times New (W1),Normalny"Tabela Nr 14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K18"/>
  <sheetViews>
    <sheetView view="pageLayout" workbookViewId="0">
      <selection activeCell="A4" sqref="A4:J4"/>
    </sheetView>
  </sheetViews>
  <sheetFormatPr defaultRowHeight="12.75"/>
  <cols>
    <col min="1" max="1" width="5.140625" customWidth="1"/>
    <col min="2" max="2" width="6.7109375" customWidth="1"/>
    <col min="3" max="3" width="16" customWidth="1"/>
    <col min="4" max="4" width="29.140625" customWidth="1"/>
    <col min="5" max="5" width="16.140625" customWidth="1"/>
    <col min="6" max="6" width="8.42578125" customWidth="1"/>
    <col min="7" max="7" width="8.140625" customWidth="1"/>
    <col min="8" max="8" width="15" customWidth="1"/>
    <col min="9" max="9" width="12.140625" customWidth="1"/>
    <col min="10" max="10" width="13" customWidth="1"/>
  </cols>
  <sheetData>
    <row r="1" spans="1:11">
      <c r="A1" s="42"/>
      <c r="B1" s="42"/>
      <c r="C1" s="42"/>
      <c r="D1" s="515" t="s">
        <v>264</v>
      </c>
      <c r="E1" s="515"/>
      <c r="F1" s="515"/>
      <c r="G1" s="515"/>
      <c r="H1" s="515"/>
      <c r="I1" s="515"/>
      <c r="J1" s="515"/>
    </row>
    <row r="2" spans="1:11" ht="15.75">
      <c r="A2" s="582" t="s">
        <v>294</v>
      </c>
      <c r="B2" s="582"/>
      <c r="C2" s="582"/>
      <c r="D2" s="582"/>
      <c r="E2" s="582"/>
      <c r="F2" s="582"/>
      <c r="G2" s="582"/>
      <c r="H2" s="582"/>
      <c r="I2" s="582"/>
      <c r="J2" s="582"/>
    </row>
    <row r="3" spans="1:11" ht="15.75">
      <c r="A3" s="581" t="s">
        <v>3</v>
      </c>
      <c r="B3" s="581"/>
      <c r="C3" s="581"/>
      <c r="D3" s="581"/>
      <c r="E3" s="581"/>
      <c r="F3" s="581"/>
      <c r="G3" s="581"/>
      <c r="H3" s="581"/>
      <c r="I3" s="581"/>
      <c r="J3" s="581"/>
    </row>
    <row r="4" spans="1:11" ht="13.5" customHeight="1">
      <c r="A4" s="582" t="s">
        <v>265</v>
      </c>
      <c r="B4" s="582"/>
      <c r="C4" s="582"/>
      <c r="D4" s="582"/>
      <c r="E4" s="582"/>
      <c r="F4" s="582"/>
      <c r="G4" s="582"/>
      <c r="H4" s="582"/>
      <c r="I4" s="582"/>
      <c r="J4" s="582"/>
    </row>
    <row r="5" spans="1:11">
      <c r="A5" s="42"/>
      <c r="B5" s="42"/>
      <c r="C5" s="42"/>
      <c r="D5" s="42"/>
      <c r="E5" s="42"/>
      <c r="F5" s="42"/>
      <c r="G5" s="42"/>
      <c r="H5" s="42"/>
      <c r="I5" s="291" t="s">
        <v>184</v>
      </c>
      <c r="J5" s="82"/>
      <c r="K5" s="82"/>
    </row>
    <row r="6" spans="1:11" s="6" customFormat="1" ht="35.25" customHeight="1">
      <c r="A6" s="513" t="s">
        <v>0</v>
      </c>
      <c r="B6" s="513" t="s">
        <v>8</v>
      </c>
      <c r="C6" s="513" t="s">
        <v>1</v>
      </c>
      <c r="D6" s="513" t="s">
        <v>12</v>
      </c>
      <c r="E6" s="513" t="s">
        <v>13</v>
      </c>
      <c r="F6" s="468" t="s">
        <v>14</v>
      </c>
      <c r="G6" s="468"/>
      <c r="H6" s="513" t="s">
        <v>229</v>
      </c>
      <c r="I6" s="513" t="s">
        <v>286</v>
      </c>
      <c r="J6" s="513"/>
    </row>
    <row r="7" spans="1:11" s="6" customFormat="1" ht="24" customHeight="1">
      <c r="A7" s="513"/>
      <c r="B7" s="513"/>
      <c r="C7" s="513"/>
      <c r="D7" s="513"/>
      <c r="E7" s="513"/>
      <c r="F7" s="157" t="s">
        <v>15</v>
      </c>
      <c r="G7" s="157" t="s">
        <v>16</v>
      </c>
      <c r="H7" s="513"/>
      <c r="I7" s="288" t="s">
        <v>143</v>
      </c>
      <c r="J7" s="288" t="s">
        <v>134</v>
      </c>
    </row>
    <row r="8" spans="1:11" s="2" customFormat="1">
      <c r="A8" s="43">
        <v>1</v>
      </c>
      <c r="B8" s="43">
        <v>2</v>
      </c>
      <c r="C8" s="43">
        <v>3</v>
      </c>
      <c r="D8" s="43">
        <v>4</v>
      </c>
      <c r="E8" s="43">
        <v>5</v>
      </c>
      <c r="F8" s="43">
        <v>6</v>
      </c>
      <c r="G8" s="43">
        <v>7</v>
      </c>
      <c r="H8" s="43">
        <v>8</v>
      </c>
      <c r="I8" s="43">
        <v>9</v>
      </c>
      <c r="J8" s="43">
        <v>10</v>
      </c>
    </row>
    <row r="9" spans="1:11" s="289" customFormat="1" ht="36">
      <c r="A9" s="293">
        <v>600</v>
      </c>
      <c r="B9" s="293">
        <v>60014</v>
      </c>
      <c r="C9" s="292" t="s">
        <v>45</v>
      </c>
      <c r="D9" s="305" t="s">
        <v>287</v>
      </c>
      <c r="E9" s="292" t="s">
        <v>251</v>
      </c>
      <c r="F9" s="293">
        <v>2007</v>
      </c>
      <c r="G9" s="293">
        <v>2009</v>
      </c>
      <c r="H9" s="294">
        <v>53039</v>
      </c>
      <c r="I9" s="295">
        <v>5454744</v>
      </c>
      <c r="J9" s="294">
        <v>0</v>
      </c>
    </row>
    <row r="10" spans="1:11" s="289" customFormat="1" ht="36">
      <c r="A10" s="293">
        <v>600</v>
      </c>
      <c r="B10" s="293">
        <v>60014</v>
      </c>
      <c r="C10" s="292" t="s">
        <v>45</v>
      </c>
      <c r="D10" s="305" t="s">
        <v>288</v>
      </c>
      <c r="E10" s="290" t="s">
        <v>197</v>
      </c>
      <c r="F10" s="293">
        <v>2007</v>
      </c>
      <c r="G10" s="293">
        <v>2010</v>
      </c>
      <c r="H10" s="294">
        <v>54397</v>
      </c>
      <c r="I10" s="295">
        <v>24400</v>
      </c>
      <c r="J10" s="294">
        <v>24400</v>
      </c>
    </row>
    <row r="11" spans="1:11" s="289" customFormat="1" ht="36">
      <c r="A11" s="293">
        <v>600</v>
      </c>
      <c r="B11" s="293">
        <v>60014</v>
      </c>
      <c r="C11" s="292" t="s">
        <v>45</v>
      </c>
      <c r="D11" s="305" t="s">
        <v>293</v>
      </c>
      <c r="E11" s="290" t="s">
        <v>197</v>
      </c>
      <c r="F11" s="293">
        <v>2007</v>
      </c>
      <c r="G11" s="293">
        <v>2010</v>
      </c>
      <c r="H11" s="294">
        <v>62861</v>
      </c>
      <c r="I11" s="295">
        <v>24400</v>
      </c>
      <c r="J11" s="294">
        <v>24400</v>
      </c>
    </row>
    <row r="12" spans="1:11" s="289" customFormat="1" ht="24">
      <c r="A12" s="293">
        <v>801</v>
      </c>
      <c r="B12" s="293">
        <v>80111</v>
      </c>
      <c r="C12" s="292" t="s">
        <v>118</v>
      </c>
      <c r="D12" s="305" t="s">
        <v>289</v>
      </c>
      <c r="E12" s="290" t="s">
        <v>197</v>
      </c>
      <c r="F12" s="293">
        <v>2008</v>
      </c>
      <c r="G12" s="293">
        <v>2011</v>
      </c>
      <c r="H12" s="294">
        <v>12651</v>
      </c>
      <c r="I12" s="295">
        <v>3660</v>
      </c>
      <c r="J12" s="294">
        <v>3660</v>
      </c>
    </row>
    <row r="13" spans="1:11" s="289" customFormat="1" ht="24">
      <c r="A13" s="293">
        <v>801</v>
      </c>
      <c r="B13" s="293">
        <v>80120</v>
      </c>
      <c r="C13" s="292" t="s">
        <v>291</v>
      </c>
      <c r="D13" s="305" t="s">
        <v>289</v>
      </c>
      <c r="E13" s="290" t="s">
        <v>197</v>
      </c>
      <c r="F13" s="293">
        <v>2008</v>
      </c>
      <c r="G13" s="293">
        <v>2011</v>
      </c>
      <c r="H13" s="294">
        <v>15926</v>
      </c>
      <c r="I13" s="295">
        <v>12754</v>
      </c>
      <c r="J13" s="294">
        <v>12754</v>
      </c>
    </row>
    <row r="14" spans="1:11" s="289" customFormat="1" ht="24">
      <c r="A14" s="293">
        <v>801</v>
      </c>
      <c r="B14" s="293">
        <v>80130</v>
      </c>
      <c r="C14" s="292" t="s">
        <v>49</v>
      </c>
      <c r="D14" s="305" t="s">
        <v>289</v>
      </c>
      <c r="E14" s="290" t="s">
        <v>197</v>
      </c>
      <c r="F14" s="293">
        <v>2008</v>
      </c>
      <c r="G14" s="293">
        <v>2010</v>
      </c>
      <c r="H14" s="294">
        <v>13017</v>
      </c>
      <c r="I14" s="295">
        <v>4026</v>
      </c>
      <c r="J14" s="294">
        <v>4026</v>
      </c>
    </row>
    <row r="15" spans="1:11" s="2" customFormat="1" ht="48">
      <c r="A15" s="290">
        <v>851</v>
      </c>
      <c r="B15" s="290">
        <v>85111</v>
      </c>
      <c r="C15" s="296" t="s">
        <v>92</v>
      </c>
      <c r="D15" s="306" t="s">
        <v>211</v>
      </c>
      <c r="E15" s="290" t="s">
        <v>197</v>
      </c>
      <c r="F15" s="290">
        <v>1994</v>
      </c>
      <c r="G15" s="290">
        <v>2009</v>
      </c>
      <c r="H15" s="297" t="e">
        <f>117763890+J15</f>
        <v>#REF!</v>
      </c>
      <c r="I15" s="298">
        <v>1384150</v>
      </c>
      <c r="J15" s="299" t="e">
        <f>#REF!</f>
        <v>#REF!</v>
      </c>
    </row>
    <row r="16" spans="1:11" s="289" customFormat="1" ht="24">
      <c r="A16" s="293">
        <v>853</v>
      </c>
      <c r="B16" s="293">
        <v>85333</v>
      </c>
      <c r="C16" s="292" t="s">
        <v>290</v>
      </c>
      <c r="D16" s="305" t="s">
        <v>289</v>
      </c>
      <c r="E16" s="290" t="s">
        <v>197</v>
      </c>
      <c r="F16" s="293">
        <v>2008</v>
      </c>
      <c r="G16" s="293">
        <v>2011</v>
      </c>
      <c r="H16" s="294">
        <v>12041</v>
      </c>
      <c r="I16" s="295">
        <v>3050</v>
      </c>
      <c r="J16" s="294">
        <v>3050</v>
      </c>
    </row>
    <row r="17" spans="1:10" ht="24">
      <c r="A17" s="300">
        <v>925</v>
      </c>
      <c r="B17" s="300">
        <v>92502</v>
      </c>
      <c r="C17" s="300" t="s">
        <v>273</v>
      </c>
      <c r="D17" s="307" t="s">
        <v>292</v>
      </c>
      <c r="E17" s="290" t="s">
        <v>197</v>
      </c>
      <c r="F17" s="300">
        <v>2009</v>
      </c>
      <c r="G17" s="300">
        <v>2011</v>
      </c>
      <c r="H17" s="301">
        <v>0</v>
      </c>
      <c r="I17" s="302">
        <v>71250</v>
      </c>
      <c r="J17" s="301">
        <v>0</v>
      </c>
    </row>
    <row r="18" spans="1:10">
      <c r="A18" s="578" t="s">
        <v>177</v>
      </c>
      <c r="B18" s="579"/>
      <c r="C18" s="579"/>
      <c r="D18" s="579"/>
      <c r="E18" s="579"/>
      <c r="F18" s="579"/>
      <c r="G18" s="580"/>
      <c r="H18" s="303" t="e">
        <f>SUM(H9:H17)</f>
        <v>#REF!</v>
      </c>
      <c r="I18" s="304">
        <f>SUM(I9:I17)</f>
        <v>6982434</v>
      </c>
      <c r="J18" s="303" t="e">
        <f>SUM(J9:J17)</f>
        <v>#REF!</v>
      </c>
    </row>
  </sheetData>
  <mergeCells count="13">
    <mergeCell ref="A18:G18"/>
    <mergeCell ref="A6:A7"/>
    <mergeCell ref="F6:G6"/>
    <mergeCell ref="E6:E7"/>
    <mergeCell ref="D1:J1"/>
    <mergeCell ref="A3:J3"/>
    <mergeCell ref="A2:J2"/>
    <mergeCell ref="A4:J4"/>
    <mergeCell ref="H6:H7"/>
    <mergeCell ref="I6:J6"/>
    <mergeCell ref="D6:D7"/>
    <mergeCell ref="C6:C7"/>
    <mergeCell ref="B6:B7"/>
  </mergeCells>
  <phoneticPr fontId="0" type="noConversion"/>
  <pageMargins left="0.75" right="0.75" top="1" bottom="1" header="0.5" footer="0.5"/>
  <pageSetup paperSize="9" orientation="landscape" r:id="rId1"/>
  <headerFooter alignWithMargins="0">
    <oddFooter>&amp;C&amp;"Times New (W1),Normalny"Załącznik  Nr 19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K20"/>
  <sheetViews>
    <sheetView view="pageLayout" workbookViewId="0">
      <selection activeCell="E14" sqref="E14:E16"/>
    </sheetView>
  </sheetViews>
  <sheetFormatPr defaultRowHeight="12.75"/>
  <cols>
    <col min="1" max="1" width="5.85546875" style="45" customWidth="1"/>
    <col min="2" max="2" width="7.140625" style="45" customWidth="1"/>
    <col min="3" max="3" width="30.28515625" style="45" customWidth="1"/>
    <col min="4" max="4" width="24.7109375" style="45" customWidth="1"/>
    <col min="5" max="5" width="15.5703125" style="45" customWidth="1"/>
    <col min="6" max="7" width="7.42578125" style="45" customWidth="1"/>
    <col min="8" max="8" width="11.7109375" style="45" customWidth="1"/>
    <col min="9" max="9" width="10" style="45" customWidth="1"/>
    <col min="10" max="10" width="12" style="45" customWidth="1"/>
    <col min="11" max="11" width="6.140625" style="45" customWidth="1"/>
    <col min="12" max="16384" width="9.140625" style="45"/>
  </cols>
  <sheetData>
    <row r="1" spans="1:11">
      <c r="H1" s="483" t="s">
        <v>295</v>
      </c>
      <c r="I1" s="483"/>
      <c r="J1" s="483"/>
    </row>
    <row r="2" spans="1:11">
      <c r="H2" s="46"/>
      <c r="I2" s="46"/>
      <c r="J2" s="46"/>
    </row>
    <row r="3" spans="1:11" ht="13.5" customHeight="1">
      <c r="A3" s="549" t="s">
        <v>151</v>
      </c>
      <c r="B3" s="549"/>
      <c r="C3" s="549"/>
      <c r="D3" s="549"/>
      <c r="E3" s="549"/>
      <c r="F3" s="549"/>
      <c r="G3" s="549"/>
      <c r="H3" s="549"/>
      <c r="I3" s="549"/>
      <c r="J3" s="549"/>
      <c r="K3" s="549"/>
    </row>
    <row r="4" spans="1:11" ht="15.75">
      <c r="A4" s="608" t="s">
        <v>158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</row>
    <row r="5" spans="1:11" ht="16.5" customHeight="1">
      <c r="A5" s="549" t="s">
        <v>282</v>
      </c>
      <c r="B5" s="549"/>
      <c r="C5" s="549"/>
      <c r="D5" s="549"/>
      <c r="E5" s="549"/>
      <c r="F5" s="549"/>
      <c r="G5" s="549"/>
      <c r="H5" s="549"/>
      <c r="I5" s="549"/>
      <c r="J5" s="549"/>
      <c r="K5" s="549"/>
    </row>
    <row r="6" spans="1:11" s="47" customFormat="1" ht="6.75" customHeight="1"/>
    <row r="7" spans="1:11" ht="11.25" customHeight="1">
      <c r="J7" s="45" t="s">
        <v>159</v>
      </c>
    </row>
    <row r="8" spans="1:11">
      <c r="A8" s="607" t="s">
        <v>0</v>
      </c>
      <c r="B8" s="607" t="s">
        <v>8</v>
      </c>
      <c r="C8" s="607" t="s">
        <v>283</v>
      </c>
      <c r="D8" s="607" t="s">
        <v>164</v>
      </c>
      <c r="E8" s="607" t="s">
        <v>13</v>
      </c>
      <c r="F8" s="606" t="s">
        <v>14</v>
      </c>
      <c r="G8" s="606"/>
      <c r="H8" s="607" t="s">
        <v>229</v>
      </c>
      <c r="I8" s="607" t="s">
        <v>281</v>
      </c>
      <c r="J8" s="607"/>
      <c r="K8" s="607"/>
    </row>
    <row r="9" spans="1:11" ht="38.25">
      <c r="A9" s="607"/>
      <c r="B9" s="607"/>
      <c r="C9" s="607"/>
      <c r="D9" s="607"/>
      <c r="E9" s="607"/>
      <c r="F9" s="50" t="s">
        <v>15</v>
      </c>
      <c r="G9" s="50" t="s">
        <v>16</v>
      </c>
      <c r="H9" s="607"/>
      <c r="I9" s="253" t="s">
        <v>165</v>
      </c>
      <c r="J9" s="253" t="s">
        <v>166</v>
      </c>
      <c r="K9" s="253" t="s">
        <v>144</v>
      </c>
    </row>
    <row r="10" spans="1:11" s="48" customFormat="1" ht="11.25">
      <c r="A10" s="254">
        <v>1</v>
      </c>
      <c r="B10" s="254">
        <v>2</v>
      </c>
      <c r="C10" s="254">
        <v>3</v>
      </c>
      <c r="D10" s="254">
        <v>4</v>
      </c>
      <c r="E10" s="254">
        <v>5</v>
      </c>
      <c r="F10" s="254">
        <v>6</v>
      </c>
      <c r="G10" s="254">
        <v>7</v>
      </c>
      <c r="H10" s="254">
        <v>8</v>
      </c>
      <c r="I10" s="254">
        <v>9</v>
      </c>
      <c r="J10" s="254">
        <v>10</v>
      </c>
      <c r="K10" s="254"/>
    </row>
    <row r="11" spans="1:11" s="48" customFormat="1" ht="17.25" customHeight="1">
      <c r="A11" s="593">
        <v>854</v>
      </c>
      <c r="B11" s="593">
        <v>85415</v>
      </c>
      <c r="C11" s="596" t="s">
        <v>284</v>
      </c>
      <c r="D11" s="599" t="s">
        <v>285</v>
      </c>
      <c r="E11" s="599" t="s">
        <v>197</v>
      </c>
      <c r="F11" s="602">
        <v>2009</v>
      </c>
      <c r="G11" s="583">
        <v>2009</v>
      </c>
      <c r="H11" s="587">
        <v>308000</v>
      </c>
      <c r="I11" s="590">
        <v>310000</v>
      </c>
      <c r="J11" s="587">
        <v>308000</v>
      </c>
      <c r="K11" s="586">
        <f>J11/I11*100</f>
        <v>99.354838709677423</v>
      </c>
    </row>
    <row r="12" spans="1:11" s="48" customFormat="1" ht="15" customHeight="1">
      <c r="A12" s="594"/>
      <c r="B12" s="594"/>
      <c r="C12" s="597"/>
      <c r="D12" s="600"/>
      <c r="E12" s="600"/>
      <c r="F12" s="603"/>
      <c r="G12" s="584"/>
      <c r="H12" s="588"/>
      <c r="I12" s="591"/>
      <c r="J12" s="588"/>
      <c r="K12" s="586"/>
    </row>
    <row r="13" spans="1:11" s="48" customFormat="1" ht="17.25" customHeight="1">
      <c r="A13" s="595"/>
      <c r="B13" s="595"/>
      <c r="C13" s="598"/>
      <c r="D13" s="601"/>
      <c r="E13" s="601"/>
      <c r="F13" s="604"/>
      <c r="G13" s="585"/>
      <c r="H13" s="589"/>
      <c r="I13" s="592"/>
      <c r="J13" s="589"/>
      <c r="K13" s="586"/>
    </row>
    <row r="14" spans="1:11" s="139" customFormat="1" ht="31.5" customHeight="1">
      <c r="A14" s="593">
        <v>853</v>
      </c>
      <c r="B14" s="593">
        <v>85395</v>
      </c>
      <c r="C14" s="596" t="s">
        <v>212</v>
      </c>
      <c r="D14" s="599" t="s">
        <v>213</v>
      </c>
      <c r="E14" s="599" t="s">
        <v>153</v>
      </c>
      <c r="F14" s="602">
        <v>2008</v>
      </c>
      <c r="G14" s="583">
        <v>2010</v>
      </c>
      <c r="H14" s="587" t="e">
        <f>65583.19+#REF!</f>
        <v>#REF!</v>
      </c>
      <c r="I14" s="590" t="e">
        <f>#REF!</f>
        <v>#REF!</v>
      </c>
      <c r="J14" s="587" t="e">
        <f>#REF!</f>
        <v>#REF!</v>
      </c>
      <c r="K14" s="586" t="e">
        <f>J14/I14*100</f>
        <v>#REF!</v>
      </c>
    </row>
    <row r="15" spans="1:11" s="139" customFormat="1" ht="26.25" customHeight="1">
      <c r="A15" s="594"/>
      <c r="B15" s="594"/>
      <c r="C15" s="597"/>
      <c r="D15" s="600"/>
      <c r="E15" s="600"/>
      <c r="F15" s="603"/>
      <c r="G15" s="584"/>
      <c r="H15" s="588"/>
      <c r="I15" s="591"/>
      <c r="J15" s="588"/>
      <c r="K15" s="586"/>
    </row>
    <row r="16" spans="1:11" s="139" customFormat="1" ht="21" customHeight="1">
      <c r="A16" s="595"/>
      <c r="B16" s="595"/>
      <c r="C16" s="598"/>
      <c r="D16" s="601"/>
      <c r="E16" s="601"/>
      <c r="F16" s="604"/>
      <c r="G16" s="585"/>
      <c r="H16" s="589"/>
      <c r="I16" s="592"/>
      <c r="J16" s="589"/>
      <c r="K16" s="586"/>
    </row>
    <row r="17" spans="1:11" s="139" customFormat="1" ht="23.25" customHeight="1">
      <c r="A17" s="593">
        <v>853</v>
      </c>
      <c r="B17" s="593">
        <v>85395</v>
      </c>
      <c r="C17" s="596" t="s">
        <v>214</v>
      </c>
      <c r="D17" s="599" t="s">
        <v>215</v>
      </c>
      <c r="E17" s="599" t="s">
        <v>152</v>
      </c>
      <c r="F17" s="602">
        <v>2008</v>
      </c>
      <c r="G17" s="583">
        <v>2013</v>
      </c>
      <c r="H17" s="587">
        <f>855733.5</f>
        <v>855733.5</v>
      </c>
      <c r="I17" s="590">
        <v>932273</v>
      </c>
      <c r="J17" s="587">
        <v>0</v>
      </c>
      <c r="K17" s="586">
        <f>J17/I17*100</f>
        <v>0</v>
      </c>
    </row>
    <row r="18" spans="1:11" s="139" customFormat="1" ht="27.75" customHeight="1">
      <c r="A18" s="594"/>
      <c r="B18" s="594"/>
      <c r="C18" s="597"/>
      <c r="D18" s="600"/>
      <c r="E18" s="600"/>
      <c r="F18" s="603"/>
      <c r="G18" s="584"/>
      <c r="H18" s="588"/>
      <c r="I18" s="591"/>
      <c r="J18" s="588"/>
      <c r="K18" s="586"/>
    </row>
    <row r="19" spans="1:11" s="139" customFormat="1" ht="10.5" customHeight="1">
      <c r="A19" s="595"/>
      <c r="B19" s="595"/>
      <c r="C19" s="598"/>
      <c r="D19" s="601"/>
      <c r="E19" s="601"/>
      <c r="F19" s="604"/>
      <c r="G19" s="585"/>
      <c r="H19" s="589"/>
      <c r="I19" s="592"/>
      <c r="J19" s="589"/>
      <c r="K19" s="586"/>
    </row>
    <row r="20" spans="1:11" ht="18.75" customHeight="1">
      <c r="A20" s="605" t="s">
        <v>130</v>
      </c>
      <c r="B20" s="605"/>
      <c r="C20" s="605"/>
      <c r="D20" s="605"/>
      <c r="E20" s="605"/>
      <c r="F20" s="605"/>
      <c r="G20" s="605"/>
      <c r="H20" s="177" t="e">
        <f>SUM(H14:H19)</f>
        <v>#REF!</v>
      </c>
      <c r="I20" s="52" t="e">
        <f>SUM(I11:I19)</f>
        <v>#REF!</v>
      </c>
      <c r="J20" s="54" t="e">
        <f>SUM(J11:J19)</f>
        <v>#REF!</v>
      </c>
      <c r="K20" s="53" t="e">
        <f t="shared" ref="K20" si="0">J20/I20*100</f>
        <v>#REF!</v>
      </c>
    </row>
  </sheetData>
  <mergeCells count="46">
    <mergeCell ref="A20:G20"/>
    <mergeCell ref="H1:J1"/>
    <mergeCell ref="F8:G8"/>
    <mergeCell ref="H8:H9"/>
    <mergeCell ref="I8:K8"/>
    <mergeCell ref="A8:A9"/>
    <mergeCell ref="B8:B9"/>
    <mergeCell ref="C8:C9"/>
    <mergeCell ref="D8:D9"/>
    <mergeCell ref="E8:E9"/>
    <mergeCell ref="A3:K3"/>
    <mergeCell ref="A4:K4"/>
    <mergeCell ref="A5:K5"/>
    <mergeCell ref="A11:A13"/>
    <mergeCell ref="B11:B13"/>
    <mergeCell ref="C11:C13"/>
    <mergeCell ref="D11:D13"/>
    <mergeCell ref="E11:E13"/>
    <mergeCell ref="F11:F13"/>
    <mergeCell ref="A14:A16"/>
    <mergeCell ref="B14:B16"/>
    <mergeCell ref="C14:C16"/>
    <mergeCell ref="D14:D16"/>
    <mergeCell ref="E14:E16"/>
    <mergeCell ref="K17:K19"/>
    <mergeCell ref="K14:K16"/>
    <mergeCell ref="F14:F16"/>
    <mergeCell ref="G14:G16"/>
    <mergeCell ref="H14:H16"/>
    <mergeCell ref="I14:I16"/>
    <mergeCell ref="J14:J16"/>
    <mergeCell ref="F17:F19"/>
    <mergeCell ref="G17:G19"/>
    <mergeCell ref="H17:H19"/>
    <mergeCell ref="I17:I19"/>
    <mergeCell ref="J17:J19"/>
    <mergeCell ref="A17:A19"/>
    <mergeCell ref="B17:B19"/>
    <mergeCell ref="C17:C19"/>
    <mergeCell ref="D17:D19"/>
    <mergeCell ref="E17:E19"/>
    <mergeCell ref="G11:G13"/>
    <mergeCell ref="K11:K13"/>
    <mergeCell ref="J11:J13"/>
    <mergeCell ref="I11:I13"/>
    <mergeCell ref="H11:H13"/>
  </mergeCells>
  <phoneticPr fontId="0" type="noConversion"/>
  <pageMargins left="0.59055118110236227" right="0.31496062992125984" top="0.82677165354330717" bottom="0.9055118110236221" header="0.19685039370078741" footer="0.51181102362204722"/>
  <pageSetup paperSize="9" orientation="landscape" r:id="rId1"/>
  <headerFooter alignWithMargins="0">
    <oddFooter>&amp;C&amp;"Times New (W1),Normalny"Załącznik Nr 20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E196"/>
  <sheetViews>
    <sheetView workbookViewId="0">
      <selection activeCell="H38" sqref="H38"/>
    </sheetView>
  </sheetViews>
  <sheetFormatPr defaultRowHeight="12.75"/>
  <cols>
    <col min="1" max="1" width="7.140625" customWidth="1"/>
    <col min="2" max="2" width="46.7109375" customWidth="1"/>
    <col min="3" max="3" width="13.42578125" customWidth="1"/>
    <col min="4" max="4" width="14.7109375" customWidth="1"/>
    <col min="5" max="5" width="6.85546875" customWidth="1"/>
  </cols>
  <sheetData>
    <row r="1" spans="1:5">
      <c r="A1" s="98"/>
      <c r="B1" s="98"/>
      <c r="C1" s="98"/>
      <c r="D1" s="98"/>
    </row>
    <row r="2" spans="1:5">
      <c r="A2" s="49" t="s">
        <v>263</v>
      </c>
      <c r="B2" s="49" t="s">
        <v>216</v>
      </c>
      <c r="C2" s="49" t="s">
        <v>143</v>
      </c>
      <c r="D2" s="49" t="s">
        <v>134</v>
      </c>
      <c r="E2" s="187" t="s">
        <v>144</v>
      </c>
    </row>
    <row r="3" spans="1:5" s="147" customFormat="1" ht="10.5">
      <c r="A3" s="192">
        <v>1</v>
      </c>
      <c r="B3" s="192">
        <v>2</v>
      </c>
      <c r="C3" s="192">
        <v>3</v>
      </c>
      <c r="D3" s="192">
        <v>4</v>
      </c>
      <c r="E3" s="246">
        <v>5</v>
      </c>
    </row>
    <row r="4" spans="1:5">
      <c r="A4" s="224" t="s">
        <v>22</v>
      </c>
      <c r="B4" s="136" t="s">
        <v>21</v>
      </c>
      <c r="C4" s="233">
        <v>4592945</v>
      </c>
      <c r="D4" s="234">
        <v>1853147</v>
      </c>
      <c r="E4" s="245">
        <f>D4/C4*100</f>
        <v>40.347685417526229</v>
      </c>
    </row>
    <row r="5" spans="1:5">
      <c r="A5" s="224" t="s">
        <v>58</v>
      </c>
      <c r="B5" s="136" t="s">
        <v>59</v>
      </c>
      <c r="C5" s="233">
        <v>150000</v>
      </c>
      <c r="D5" s="234">
        <v>83066.429999999993</v>
      </c>
      <c r="E5" s="245">
        <f t="shared" ref="E5:E27" si="0">D5/C5*100</f>
        <v>55.377619999999993</v>
      </c>
    </row>
    <row r="6" spans="1:5">
      <c r="A6" s="138" t="s">
        <v>24</v>
      </c>
      <c r="B6" s="235" t="s">
        <v>25</v>
      </c>
      <c r="C6" s="233">
        <v>734480</v>
      </c>
      <c r="D6" s="234">
        <v>381748.5</v>
      </c>
      <c r="E6" s="245">
        <f t="shared" si="0"/>
        <v>51.975343099880192</v>
      </c>
    </row>
    <row r="7" spans="1:5" ht="22.5">
      <c r="A7" s="224" t="s">
        <v>26</v>
      </c>
      <c r="B7" s="156" t="s">
        <v>29</v>
      </c>
      <c r="C7" s="233">
        <v>10300</v>
      </c>
      <c r="D7" s="234">
        <v>10542.54</v>
      </c>
      <c r="E7" s="245">
        <f t="shared" si="0"/>
        <v>102.3547572815534</v>
      </c>
    </row>
    <row r="8" spans="1:5" ht="22.5">
      <c r="A8" s="138" t="s">
        <v>201</v>
      </c>
      <c r="B8" s="235" t="s">
        <v>202</v>
      </c>
      <c r="C8" s="233">
        <v>620000</v>
      </c>
      <c r="D8" s="234">
        <v>539495.15</v>
      </c>
      <c r="E8" s="245">
        <f t="shared" si="0"/>
        <v>87.015346774193546</v>
      </c>
    </row>
    <row r="9" spans="1:5">
      <c r="A9" s="224" t="s">
        <v>136</v>
      </c>
      <c r="B9" s="156" t="s">
        <v>178</v>
      </c>
      <c r="C9" s="233">
        <v>5242</v>
      </c>
      <c r="D9" s="234">
        <v>5762.42</v>
      </c>
      <c r="E9" s="245">
        <f t="shared" si="0"/>
        <v>109.92789011827546</v>
      </c>
    </row>
    <row r="10" spans="1:5" ht="22.5">
      <c r="A10" s="224" t="s">
        <v>160</v>
      </c>
      <c r="B10" s="156" t="s">
        <v>174</v>
      </c>
      <c r="C10" s="233">
        <v>2245</v>
      </c>
      <c r="D10" s="234">
        <v>2705.9</v>
      </c>
      <c r="E10" s="245">
        <f t="shared" si="0"/>
        <v>120.53006681514478</v>
      </c>
    </row>
    <row r="11" spans="1:5">
      <c r="A11" s="224" t="s">
        <v>43</v>
      </c>
      <c r="B11" s="136" t="s">
        <v>44</v>
      </c>
      <c r="C11" s="233">
        <v>1858</v>
      </c>
      <c r="D11" s="234">
        <v>12872.32</v>
      </c>
      <c r="E11" s="245">
        <f t="shared" si="0"/>
        <v>692.80516684607096</v>
      </c>
    </row>
    <row r="12" spans="1:5" ht="33.75">
      <c r="A12" s="224" t="s">
        <v>27</v>
      </c>
      <c r="B12" s="156" t="s">
        <v>185</v>
      </c>
      <c r="C12" s="233">
        <v>229379</v>
      </c>
      <c r="D12" s="234">
        <v>188948.57</v>
      </c>
      <c r="E12" s="245">
        <f t="shared" si="0"/>
        <v>82.373961870964649</v>
      </c>
    </row>
    <row r="13" spans="1:5" ht="22.5">
      <c r="A13" s="247" t="s">
        <v>28</v>
      </c>
      <c r="B13" s="248" t="s">
        <v>66</v>
      </c>
      <c r="C13" s="249">
        <v>660000</v>
      </c>
      <c r="D13" s="250">
        <v>511997.81</v>
      </c>
      <c r="E13" s="245">
        <f t="shared" si="0"/>
        <v>77.575425757575758</v>
      </c>
    </row>
    <row r="14" spans="1:5">
      <c r="A14" s="247" t="s">
        <v>61</v>
      </c>
      <c r="B14" s="248" t="s">
        <v>63</v>
      </c>
      <c r="C14" s="249">
        <v>165356</v>
      </c>
      <c r="D14" s="250">
        <v>113251.85</v>
      </c>
      <c r="E14" s="245">
        <f t="shared" si="0"/>
        <v>68.489713103848672</v>
      </c>
    </row>
    <row r="15" spans="1:5">
      <c r="A15" s="247" t="s">
        <v>252</v>
      </c>
      <c r="B15" s="248" t="s">
        <v>257</v>
      </c>
      <c r="C15" s="249">
        <v>0</v>
      </c>
      <c r="D15" s="250">
        <v>306</v>
      </c>
      <c r="E15" s="245"/>
    </row>
    <row r="16" spans="1:5" ht="22.5">
      <c r="A16" s="224" t="s">
        <v>253</v>
      </c>
      <c r="B16" s="156" t="s">
        <v>258</v>
      </c>
      <c r="C16" s="236">
        <f>C145+C146</f>
        <v>0</v>
      </c>
      <c r="D16" s="234">
        <v>52</v>
      </c>
      <c r="E16" s="245"/>
    </row>
    <row r="17" spans="1:5">
      <c r="A17" s="224" t="s">
        <v>250</v>
      </c>
      <c r="B17" s="156" t="s">
        <v>255</v>
      </c>
      <c r="C17" s="233">
        <f>C147+C148+C149</f>
        <v>0</v>
      </c>
      <c r="D17" s="234">
        <v>564.1</v>
      </c>
      <c r="E17" s="245"/>
    </row>
    <row r="18" spans="1:5">
      <c r="A18" s="224" t="s">
        <v>55</v>
      </c>
      <c r="B18" s="156" t="s">
        <v>65</v>
      </c>
      <c r="C18" s="233">
        <v>96043</v>
      </c>
      <c r="D18" s="234">
        <v>70132.259999999995</v>
      </c>
      <c r="E18" s="245">
        <f t="shared" si="0"/>
        <v>73.021729850171269</v>
      </c>
    </row>
    <row r="19" spans="1:5">
      <c r="A19" s="224" t="s">
        <v>107</v>
      </c>
      <c r="B19" s="156" t="s">
        <v>173</v>
      </c>
      <c r="C19" s="233">
        <v>22880</v>
      </c>
      <c r="D19" s="234">
        <v>25080.26</v>
      </c>
      <c r="E19" s="245">
        <f t="shared" si="0"/>
        <v>109.61652097902098</v>
      </c>
    </row>
    <row r="20" spans="1:5">
      <c r="A20" s="224" t="s">
        <v>62</v>
      </c>
      <c r="B20" s="156" t="s">
        <v>64</v>
      </c>
      <c r="C20" s="233">
        <v>64004</v>
      </c>
      <c r="D20" s="234">
        <v>88683.86</v>
      </c>
      <c r="E20" s="245">
        <f t="shared" si="0"/>
        <v>138.55987125804637</v>
      </c>
    </row>
    <row r="21" spans="1:5" ht="24" customHeight="1">
      <c r="A21" s="223">
        <v>2360</v>
      </c>
      <c r="B21" s="156" t="s">
        <v>138</v>
      </c>
      <c r="C21" s="233">
        <v>80000</v>
      </c>
      <c r="D21" s="234">
        <v>67982.89</v>
      </c>
      <c r="E21" s="245">
        <f t="shared" si="0"/>
        <v>84.978612499999997</v>
      </c>
    </row>
    <row r="22" spans="1:5" ht="24.75" customHeight="1">
      <c r="A22" s="223">
        <v>2460</v>
      </c>
      <c r="B22" s="156" t="s">
        <v>74</v>
      </c>
      <c r="C22" s="233">
        <v>252000</v>
      </c>
      <c r="D22" s="234">
        <v>124853.4</v>
      </c>
      <c r="E22" s="245">
        <f t="shared" si="0"/>
        <v>49.545000000000002</v>
      </c>
    </row>
    <row r="23" spans="1:5" ht="22.5">
      <c r="A23" s="223">
        <v>2700</v>
      </c>
      <c r="B23" s="137" t="s">
        <v>256</v>
      </c>
      <c r="C23" s="233">
        <v>0</v>
      </c>
      <c r="D23" s="234">
        <v>1000</v>
      </c>
      <c r="E23" s="245"/>
    </row>
    <row r="24" spans="1:5" ht="22.5">
      <c r="A24" s="224">
        <v>2708</v>
      </c>
      <c r="B24" s="156" t="s">
        <v>203</v>
      </c>
      <c r="C24" s="233">
        <v>14844</v>
      </c>
      <c r="D24" s="234">
        <v>14843.48</v>
      </c>
      <c r="E24" s="245">
        <f t="shared" si="0"/>
        <v>99.99649690110482</v>
      </c>
    </row>
    <row r="25" spans="1:5" ht="22.5">
      <c r="A25" s="224">
        <v>2910</v>
      </c>
      <c r="B25" s="156" t="s">
        <v>141</v>
      </c>
      <c r="C25" s="233">
        <v>0</v>
      </c>
      <c r="D25" s="234">
        <v>411.52</v>
      </c>
      <c r="E25" s="245"/>
    </row>
    <row r="26" spans="1:5" ht="33.75">
      <c r="A26" s="223">
        <v>8538</v>
      </c>
      <c r="B26" s="156" t="s">
        <v>198</v>
      </c>
      <c r="C26" s="233">
        <v>5850</v>
      </c>
      <c r="D26" s="234">
        <v>5850</v>
      </c>
      <c r="E26" s="245">
        <f t="shared" si="0"/>
        <v>100</v>
      </c>
    </row>
    <row r="27" spans="1:5">
      <c r="A27" s="575" t="s">
        <v>130</v>
      </c>
      <c r="B27" s="575"/>
      <c r="C27" s="233">
        <f>SUM(C4:C26)</f>
        <v>7707426</v>
      </c>
      <c r="D27" s="234">
        <f>SUM(D4:D26)</f>
        <v>4103298.2599999988</v>
      </c>
      <c r="E27" s="245">
        <f t="shared" si="0"/>
        <v>53.238244000007249</v>
      </c>
    </row>
    <row r="28" spans="1:5">
      <c r="A28" s="146"/>
      <c r="B28" s="237"/>
      <c r="C28" s="238"/>
      <c r="D28" s="239"/>
    </row>
    <row r="29" spans="1:5">
      <c r="A29" s="49" t="s">
        <v>263</v>
      </c>
      <c r="B29" s="49" t="s">
        <v>216</v>
      </c>
      <c r="C29" s="49" t="s">
        <v>143</v>
      </c>
      <c r="D29" s="49" t="s">
        <v>134</v>
      </c>
      <c r="E29" s="187" t="s">
        <v>144</v>
      </c>
    </row>
    <row r="30" spans="1:5" s="147" customFormat="1" ht="10.5">
      <c r="A30" s="192">
        <v>1</v>
      </c>
      <c r="B30" s="192">
        <v>2</v>
      </c>
      <c r="C30" s="192">
        <v>3</v>
      </c>
      <c r="D30" s="192">
        <v>4</v>
      </c>
      <c r="E30" s="246">
        <v>5</v>
      </c>
    </row>
    <row r="31" spans="1:5" ht="22.5">
      <c r="A31" s="224">
        <v>2008</v>
      </c>
      <c r="B31" s="156" t="s">
        <v>262</v>
      </c>
      <c r="C31" s="233">
        <v>931795</v>
      </c>
      <c r="D31" s="234">
        <v>46732</v>
      </c>
      <c r="E31" s="245">
        <f>D31/C31*100</f>
        <v>5.0152662334526372</v>
      </c>
    </row>
    <row r="32" spans="1:5" ht="22.5">
      <c r="A32" s="224">
        <v>2009</v>
      </c>
      <c r="B32" s="156" t="s">
        <v>262</v>
      </c>
      <c r="C32" s="233">
        <v>49748</v>
      </c>
      <c r="D32" s="234">
        <v>0</v>
      </c>
      <c r="E32" s="245">
        <f t="shared" ref="E32:E51" si="1">D32/C32*100</f>
        <v>0</v>
      </c>
    </row>
    <row r="33" spans="1:5" ht="22.5">
      <c r="A33" s="223">
        <v>2110</v>
      </c>
      <c r="B33" s="156" t="s">
        <v>71</v>
      </c>
      <c r="C33" s="233">
        <v>6105966</v>
      </c>
      <c r="D33" s="234">
        <v>3852518</v>
      </c>
      <c r="E33" s="245">
        <f t="shared" si="1"/>
        <v>63.094324468888296</v>
      </c>
    </row>
    <row r="34" spans="1:5" ht="33.75">
      <c r="A34" s="223">
        <v>2120</v>
      </c>
      <c r="B34" s="156" t="s">
        <v>30</v>
      </c>
      <c r="C34" s="233">
        <v>1000</v>
      </c>
      <c r="D34" s="234">
        <v>382</v>
      </c>
      <c r="E34" s="245">
        <f t="shared" si="1"/>
        <v>38.200000000000003</v>
      </c>
    </row>
    <row r="35" spans="1:5" ht="22.5">
      <c r="A35" s="223">
        <v>2130</v>
      </c>
      <c r="B35" s="156" t="s">
        <v>172</v>
      </c>
      <c r="C35" s="233">
        <v>1939700</v>
      </c>
      <c r="D35" s="234">
        <v>882061</v>
      </c>
      <c r="E35" s="245">
        <f t="shared" si="1"/>
        <v>45.474093932051346</v>
      </c>
    </row>
    <row r="36" spans="1:5" ht="24" customHeight="1">
      <c r="A36" s="223">
        <v>2310</v>
      </c>
      <c r="B36" s="137" t="s">
        <v>140</v>
      </c>
      <c r="C36" s="233">
        <v>5903</v>
      </c>
      <c r="D36" s="234">
        <v>5902.72</v>
      </c>
      <c r="E36" s="245">
        <f t="shared" si="1"/>
        <v>99.995256649161448</v>
      </c>
    </row>
    <row r="37" spans="1:5" ht="21.75" customHeight="1">
      <c r="A37" s="223">
        <v>2320</v>
      </c>
      <c r="B37" s="156" t="s">
        <v>142</v>
      </c>
      <c r="C37" s="233">
        <v>1722900</v>
      </c>
      <c r="D37" s="234">
        <v>865010.54</v>
      </c>
      <c r="E37" s="245">
        <f t="shared" si="1"/>
        <v>50.206659701665799</v>
      </c>
    </row>
    <row r="38" spans="1:5" ht="22.5">
      <c r="A38" s="224">
        <v>2440</v>
      </c>
      <c r="B38" s="156" t="s">
        <v>81</v>
      </c>
      <c r="C38" s="233">
        <v>1009400</v>
      </c>
      <c r="D38" s="234">
        <v>463653.31</v>
      </c>
      <c r="E38" s="245">
        <f t="shared" si="1"/>
        <v>45.933555577570836</v>
      </c>
    </row>
    <row r="39" spans="1:5" ht="22.5" customHeight="1">
      <c r="A39" s="268">
        <v>2888</v>
      </c>
      <c r="B39" s="463" t="s">
        <v>268</v>
      </c>
      <c r="C39" s="233">
        <v>210955</v>
      </c>
      <c r="D39" s="234">
        <v>209594</v>
      </c>
      <c r="E39" s="245">
        <f t="shared" si="1"/>
        <v>99.354838709677423</v>
      </c>
    </row>
    <row r="40" spans="1:5" ht="21.75" customHeight="1">
      <c r="A40" s="268">
        <v>2889</v>
      </c>
      <c r="B40" s="464"/>
      <c r="C40" s="233">
        <v>99045</v>
      </c>
      <c r="D40" s="234">
        <v>98406</v>
      </c>
      <c r="E40" s="245">
        <f t="shared" si="1"/>
        <v>99.354838709677423</v>
      </c>
    </row>
    <row r="41" spans="1:5" ht="24.75" customHeight="1">
      <c r="A41" s="268">
        <v>6430</v>
      </c>
      <c r="B41" s="151" t="s">
        <v>266</v>
      </c>
      <c r="C41" s="233">
        <v>1940000</v>
      </c>
      <c r="D41" s="234"/>
      <c r="E41" s="245"/>
    </row>
    <row r="42" spans="1:5">
      <c r="A42" s="609" t="s">
        <v>130</v>
      </c>
      <c r="B42" s="609"/>
      <c r="C42" s="240">
        <f>SUM(C31:C41)</f>
        <v>14016412</v>
      </c>
      <c r="D42" s="241">
        <f>SUM(D31:D41)</f>
        <v>6424259.5699999994</v>
      </c>
      <c r="E42" s="245">
        <f t="shared" si="1"/>
        <v>45.833838003620322</v>
      </c>
    </row>
    <row r="43" spans="1:5">
      <c r="A43" s="98"/>
      <c r="B43" s="98"/>
      <c r="C43" s="98"/>
      <c r="D43" s="98"/>
      <c r="E43" s="252"/>
    </row>
    <row r="44" spans="1:5">
      <c r="A44" s="49" t="s">
        <v>263</v>
      </c>
      <c r="B44" s="49" t="s">
        <v>216</v>
      </c>
      <c r="C44" s="49" t="s">
        <v>143</v>
      </c>
      <c r="D44" s="49" t="s">
        <v>134</v>
      </c>
      <c r="E44" s="187" t="s">
        <v>144</v>
      </c>
    </row>
    <row r="45" spans="1:5" s="147" customFormat="1" ht="10.5">
      <c r="A45" s="192">
        <v>1</v>
      </c>
      <c r="B45" s="192">
        <v>2</v>
      </c>
      <c r="C45" s="192">
        <v>3</v>
      </c>
      <c r="D45" s="192">
        <v>4</v>
      </c>
      <c r="E45" s="246">
        <v>5</v>
      </c>
    </row>
    <row r="46" spans="1:5">
      <c r="A46" s="223">
        <v>2920</v>
      </c>
      <c r="B46" s="136" t="s">
        <v>23</v>
      </c>
      <c r="C46" s="233">
        <v>25566298</v>
      </c>
      <c r="D46" s="234">
        <v>14681030</v>
      </c>
      <c r="E46" s="245">
        <f t="shared" si="1"/>
        <v>57.423370407401187</v>
      </c>
    </row>
    <row r="47" spans="1:5">
      <c r="A47" s="98"/>
      <c r="B47" s="98"/>
      <c r="C47" s="98"/>
      <c r="D47" s="98"/>
      <c r="E47" s="252"/>
    </row>
    <row r="48" spans="1:5">
      <c r="A48" s="98"/>
      <c r="B48" s="98"/>
      <c r="C48" s="242">
        <f>C27+C42+C46</f>
        <v>47290136</v>
      </c>
      <c r="D48" s="243">
        <f>D27+D42+D46</f>
        <v>25208587.829999998</v>
      </c>
      <c r="E48" s="252"/>
    </row>
    <row r="49" spans="1:5" hidden="1">
      <c r="A49" s="222"/>
      <c r="B49" s="226"/>
      <c r="C49" s="213"/>
      <c r="D49" s="230"/>
      <c r="E49" s="251" t="e">
        <f t="shared" si="1"/>
        <v>#DIV/0!</v>
      </c>
    </row>
    <row r="50" spans="1:5" hidden="1">
      <c r="A50" s="222"/>
      <c r="B50" s="226"/>
      <c r="C50" s="213"/>
      <c r="D50" s="230"/>
      <c r="E50" s="245" t="e">
        <f t="shared" si="1"/>
        <v>#DIV/0!</v>
      </c>
    </row>
    <row r="51" spans="1:5" hidden="1">
      <c r="A51" s="222"/>
      <c r="B51" s="226"/>
      <c r="C51" s="213"/>
      <c r="D51" s="230"/>
      <c r="E51" s="245" t="e">
        <f t="shared" si="1"/>
        <v>#DIV/0!</v>
      </c>
    </row>
    <row r="52" spans="1:5" hidden="1">
      <c r="A52" s="222"/>
      <c r="B52" s="226"/>
      <c r="C52" s="213"/>
      <c r="D52" s="230"/>
    </row>
    <row r="53" spans="1:5" hidden="1">
      <c r="A53" s="222"/>
      <c r="B53" s="226"/>
      <c r="C53" s="213"/>
      <c r="D53" s="230"/>
    </row>
    <row r="54" spans="1:5" hidden="1">
      <c r="A54" s="222"/>
      <c r="B54" s="226"/>
      <c r="C54" s="213"/>
      <c r="D54" s="230"/>
    </row>
    <row r="55" spans="1:5" hidden="1">
      <c r="A55" s="197"/>
      <c r="B55" s="151"/>
      <c r="C55" s="196"/>
      <c r="D55" s="219"/>
    </row>
    <row r="56" spans="1:5" hidden="1">
      <c r="A56" s="197"/>
      <c r="B56" s="151"/>
      <c r="C56" s="196"/>
      <c r="D56" s="219"/>
    </row>
    <row r="57" spans="1:5" ht="22.5" hidden="1">
      <c r="A57" s="202">
        <v>2110</v>
      </c>
      <c r="B57" s="151" t="s">
        <v>71</v>
      </c>
      <c r="C57" s="196">
        <v>88000</v>
      </c>
      <c r="D57" s="219">
        <v>47258</v>
      </c>
    </row>
    <row r="58" spans="1:5" ht="22.5" hidden="1">
      <c r="A58" s="202">
        <v>2110</v>
      </c>
      <c r="B58" s="151" t="s">
        <v>71</v>
      </c>
      <c r="C58" s="196">
        <v>61000</v>
      </c>
      <c r="D58" s="219">
        <v>35581</v>
      </c>
    </row>
    <row r="59" spans="1:5" ht="22.5" hidden="1">
      <c r="A59" s="202">
        <v>2110</v>
      </c>
      <c r="B59" s="151" t="s">
        <v>71</v>
      </c>
      <c r="C59" s="196">
        <v>74000</v>
      </c>
      <c r="D59" s="219">
        <v>39740</v>
      </c>
    </row>
    <row r="60" spans="1:5" ht="22.5" hidden="1">
      <c r="A60" s="202">
        <v>2110</v>
      </c>
      <c r="B60" s="151" t="s">
        <v>71</v>
      </c>
      <c r="C60" s="196">
        <v>19000</v>
      </c>
      <c r="D60" s="219">
        <v>10202</v>
      </c>
    </row>
    <row r="61" spans="1:5" ht="22.5" hidden="1">
      <c r="A61" s="197">
        <v>2110</v>
      </c>
      <c r="B61" s="151" t="s">
        <v>71</v>
      </c>
      <c r="C61" s="196">
        <v>248600</v>
      </c>
      <c r="D61" s="219">
        <v>133398</v>
      </c>
    </row>
    <row r="62" spans="1:5" ht="22.5" hidden="1">
      <c r="A62" s="202">
        <v>2110</v>
      </c>
      <c r="B62" s="151" t="s">
        <v>71</v>
      </c>
      <c r="C62" s="196">
        <v>101500</v>
      </c>
      <c r="D62" s="219">
        <v>54680</v>
      </c>
    </row>
    <row r="63" spans="1:5" ht="22.5" hidden="1">
      <c r="A63" s="202">
        <v>2110</v>
      </c>
      <c r="B63" s="151" t="s">
        <v>71</v>
      </c>
      <c r="C63" s="196">
        <v>16000</v>
      </c>
      <c r="D63" s="219">
        <v>16000</v>
      </c>
    </row>
    <row r="64" spans="1:5" ht="22.5" hidden="1">
      <c r="A64" s="202">
        <v>2110</v>
      </c>
      <c r="B64" s="151" t="s">
        <v>71</v>
      </c>
      <c r="C64" s="196">
        <v>2686923</v>
      </c>
      <c r="D64" s="219">
        <v>1645162</v>
      </c>
    </row>
    <row r="65" spans="1:4" ht="22.5" hidden="1">
      <c r="A65" s="202">
        <v>2110</v>
      </c>
      <c r="B65" s="151" t="s">
        <v>71</v>
      </c>
      <c r="C65" s="196">
        <v>1936000</v>
      </c>
      <c r="D65" s="219">
        <v>993796</v>
      </c>
    </row>
    <row r="66" spans="1:4" ht="22.5" hidden="1">
      <c r="A66" s="202">
        <v>2110</v>
      </c>
      <c r="B66" s="151" t="s">
        <v>71</v>
      </c>
      <c r="C66" s="196">
        <v>658300</v>
      </c>
      <c r="D66" s="219">
        <v>344273</v>
      </c>
    </row>
    <row r="67" spans="1:4" ht="22.5" hidden="1">
      <c r="A67" s="202">
        <v>2110</v>
      </c>
      <c r="B67" s="151" t="s">
        <v>71</v>
      </c>
      <c r="C67" s="196">
        <v>73000</v>
      </c>
      <c r="D67" s="219">
        <v>36498</v>
      </c>
    </row>
    <row r="68" spans="1:4" ht="22.5" hidden="1">
      <c r="A68" s="202">
        <v>2110</v>
      </c>
      <c r="B68" s="151" t="s">
        <v>71</v>
      </c>
      <c r="C68" s="196">
        <v>15286</v>
      </c>
      <c r="D68" s="219">
        <v>15286</v>
      </c>
    </row>
    <row r="69" spans="1:4" ht="33.75" hidden="1">
      <c r="A69" s="202">
        <v>2120</v>
      </c>
      <c r="B69" s="151" t="s">
        <v>30</v>
      </c>
      <c r="C69" s="196">
        <v>2000</v>
      </c>
      <c r="D69" s="219">
        <v>0</v>
      </c>
    </row>
    <row r="70" spans="1:4" ht="22.5" hidden="1">
      <c r="A70" s="202">
        <v>2130</v>
      </c>
      <c r="B70" s="151" t="s">
        <v>172</v>
      </c>
      <c r="C70" s="196">
        <v>1240</v>
      </c>
      <c r="D70" s="219">
        <v>1240</v>
      </c>
    </row>
    <row r="71" spans="1:4" ht="22.5" hidden="1">
      <c r="A71" s="202">
        <v>2130</v>
      </c>
      <c r="B71" s="151" t="s">
        <v>31</v>
      </c>
      <c r="C71" s="196">
        <v>1970000</v>
      </c>
      <c r="D71" s="219">
        <v>925015</v>
      </c>
    </row>
    <row r="72" spans="1:4" ht="22.5" hidden="1">
      <c r="A72" s="202">
        <v>2130</v>
      </c>
      <c r="B72" s="151" t="s">
        <v>31</v>
      </c>
      <c r="C72" s="196">
        <v>2700</v>
      </c>
      <c r="D72" s="219">
        <v>2700</v>
      </c>
    </row>
    <row r="73" spans="1:4" ht="22.5" hidden="1">
      <c r="A73" s="197">
        <v>2130</v>
      </c>
      <c r="B73" s="151" t="s">
        <v>31</v>
      </c>
      <c r="C73" s="196">
        <v>9600</v>
      </c>
      <c r="D73" s="219">
        <v>9600</v>
      </c>
    </row>
    <row r="74" spans="1:4" ht="33.75" hidden="1">
      <c r="A74" s="202">
        <v>2310</v>
      </c>
      <c r="B74" s="203" t="s">
        <v>140</v>
      </c>
      <c r="C74" s="196">
        <v>5000</v>
      </c>
      <c r="D74" s="219">
        <v>10000</v>
      </c>
    </row>
    <row r="75" spans="1:4" ht="33.75" hidden="1">
      <c r="A75" s="202">
        <v>2310</v>
      </c>
      <c r="B75" s="203" t="s">
        <v>140</v>
      </c>
      <c r="C75" s="196">
        <v>5289</v>
      </c>
      <c r="D75" s="219">
        <v>5288.68</v>
      </c>
    </row>
    <row r="76" spans="1:4" ht="33.75" hidden="1">
      <c r="A76" s="202">
        <v>2310</v>
      </c>
      <c r="B76" s="203" t="s">
        <v>140</v>
      </c>
      <c r="C76" s="196">
        <v>19500</v>
      </c>
      <c r="D76" s="219">
        <v>12000</v>
      </c>
    </row>
    <row r="77" spans="1:4" ht="33.75" hidden="1">
      <c r="A77" s="202">
        <v>2320</v>
      </c>
      <c r="B77" s="151" t="s">
        <v>142</v>
      </c>
      <c r="C77" s="196">
        <v>1224095</v>
      </c>
      <c r="D77" s="219">
        <v>698814.3</v>
      </c>
    </row>
    <row r="78" spans="1:4" ht="33.75" hidden="1">
      <c r="A78" s="197">
        <v>2320</v>
      </c>
      <c r="B78" s="151" t="s">
        <v>142</v>
      </c>
      <c r="C78" s="196">
        <v>72872</v>
      </c>
      <c r="D78" s="219">
        <v>40750.400000000001</v>
      </c>
    </row>
    <row r="79" spans="1:4" ht="33.75" hidden="1">
      <c r="A79" s="202">
        <v>2360</v>
      </c>
      <c r="B79" s="151" t="s">
        <v>138</v>
      </c>
      <c r="C79" s="196">
        <v>0</v>
      </c>
      <c r="D79" s="219">
        <v>122.29</v>
      </c>
    </row>
    <row r="80" spans="1:4" ht="33.75" hidden="1">
      <c r="A80" s="202">
        <v>2360</v>
      </c>
      <c r="B80" s="151" t="s">
        <v>138</v>
      </c>
      <c r="C80" s="196">
        <v>100000</v>
      </c>
      <c r="D80" s="219">
        <v>68487.899999999994</v>
      </c>
    </row>
    <row r="81" spans="1:4" ht="33.75" hidden="1">
      <c r="A81" s="197">
        <v>2360</v>
      </c>
      <c r="B81" s="151" t="s">
        <v>138</v>
      </c>
      <c r="C81" s="196">
        <v>0</v>
      </c>
      <c r="D81" s="219">
        <v>12.5</v>
      </c>
    </row>
    <row r="82" spans="1:4" ht="33.75" hidden="1">
      <c r="A82" s="202">
        <v>2360</v>
      </c>
      <c r="B82" s="151" t="s">
        <v>138</v>
      </c>
      <c r="C82" s="196">
        <v>0</v>
      </c>
      <c r="D82" s="219">
        <v>4.7300000000000004</v>
      </c>
    </row>
    <row r="83" spans="1:4" ht="33.75" hidden="1">
      <c r="A83" s="202">
        <v>2360</v>
      </c>
      <c r="B83" s="151" t="s">
        <v>138</v>
      </c>
      <c r="C83" s="196">
        <v>0</v>
      </c>
      <c r="D83" s="219">
        <v>110.12</v>
      </c>
    </row>
    <row r="84" spans="1:4" ht="22.5" hidden="1">
      <c r="A84" s="197">
        <v>2440</v>
      </c>
      <c r="B84" s="151" t="s">
        <v>81</v>
      </c>
      <c r="C84" s="196">
        <v>100000</v>
      </c>
      <c r="D84" s="219">
        <v>0</v>
      </c>
    </row>
    <row r="85" spans="1:4" ht="22.5" hidden="1">
      <c r="A85" s="202">
        <v>2440</v>
      </c>
      <c r="B85" s="203" t="s">
        <v>145</v>
      </c>
      <c r="C85" s="196">
        <v>170000</v>
      </c>
      <c r="D85" s="219">
        <v>95420.3</v>
      </c>
    </row>
    <row r="86" spans="1:4" ht="22.5" hidden="1">
      <c r="A86" s="202">
        <v>2440</v>
      </c>
      <c r="B86" s="203" t="s">
        <v>145</v>
      </c>
      <c r="C86" s="196">
        <v>524500</v>
      </c>
      <c r="D86" s="219">
        <v>262250</v>
      </c>
    </row>
    <row r="87" spans="1:4" ht="22.5" hidden="1">
      <c r="A87" s="202">
        <v>2440</v>
      </c>
      <c r="B87" s="203" t="s">
        <v>145</v>
      </c>
      <c r="C87" s="196">
        <v>85956</v>
      </c>
      <c r="D87" s="219">
        <v>43058</v>
      </c>
    </row>
    <row r="88" spans="1:4" ht="33.75" hidden="1">
      <c r="A88" s="202">
        <v>2460</v>
      </c>
      <c r="B88" s="151" t="s">
        <v>74</v>
      </c>
      <c r="C88" s="196">
        <v>247000</v>
      </c>
      <c r="D88" s="219">
        <v>119746.74</v>
      </c>
    </row>
    <row r="89" spans="1:4" ht="22.5" hidden="1">
      <c r="A89" s="202">
        <v>2707</v>
      </c>
      <c r="B89" s="203" t="s">
        <v>256</v>
      </c>
      <c r="C89" s="196">
        <v>0</v>
      </c>
      <c r="D89" s="219">
        <v>285.12</v>
      </c>
    </row>
    <row r="90" spans="1:4" ht="22.5" hidden="1">
      <c r="A90" s="197">
        <v>2708</v>
      </c>
      <c r="B90" s="151" t="s">
        <v>203</v>
      </c>
      <c r="C90" s="196">
        <v>14844</v>
      </c>
      <c r="D90" s="219">
        <v>0</v>
      </c>
    </row>
    <row r="91" spans="1:4" ht="22.5" hidden="1">
      <c r="A91" s="202">
        <v>2709</v>
      </c>
      <c r="B91" s="203" t="s">
        <v>256</v>
      </c>
      <c r="C91" s="196">
        <v>0</v>
      </c>
      <c r="D91" s="219">
        <v>6973.86</v>
      </c>
    </row>
    <row r="92" spans="1:4" ht="33.75" hidden="1">
      <c r="A92" s="197">
        <v>2710</v>
      </c>
      <c r="B92" s="151" t="s">
        <v>205</v>
      </c>
      <c r="C92" s="196">
        <v>700</v>
      </c>
      <c r="D92" s="219">
        <v>700</v>
      </c>
    </row>
    <row r="93" spans="1:4" ht="22.5" hidden="1">
      <c r="A93" s="197">
        <v>2910</v>
      </c>
      <c r="B93" s="151" t="s">
        <v>141</v>
      </c>
      <c r="C93" s="196">
        <v>4139</v>
      </c>
      <c r="D93" s="219">
        <v>5021.1000000000004</v>
      </c>
    </row>
    <row r="94" spans="1:4" hidden="1">
      <c r="A94" s="202">
        <v>2920</v>
      </c>
      <c r="B94" s="154" t="s">
        <v>23</v>
      </c>
      <c r="C94" s="196">
        <v>15002419</v>
      </c>
      <c r="D94" s="219">
        <v>9232256</v>
      </c>
    </row>
    <row r="95" spans="1:4" hidden="1">
      <c r="A95" s="215">
        <v>2920</v>
      </c>
      <c r="B95" s="229" t="s">
        <v>23</v>
      </c>
      <c r="C95" s="213">
        <v>4950372</v>
      </c>
      <c r="D95" s="230">
        <v>2062655</v>
      </c>
    </row>
    <row r="96" spans="1:4" hidden="1">
      <c r="A96" s="215">
        <v>2920</v>
      </c>
      <c r="B96" s="229" t="s">
        <v>23</v>
      </c>
      <c r="C96" s="213">
        <v>1145933</v>
      </c>
      <c r="D96" s="230">
        <v>1015495</v>
      </c>
    </row>
    <row r="97" spans="1:4" ht="33.75" hidden="1">
      <c r="A97" s="211">
        <v>6260</v>
      </c>
      <c r="B97" s="151" t="s">
        <v>206</v>
      </c>
      <c r="C97" s="213">
        <v>150000</v>
      </c>
      <c r="D97" s="230">
        <v>150000</v>
      </c>
    </row>
    <row r="98" spans="1:4" ht="33.75" hidden="1">
      <c r="A98" s="215">
        <v>8538</v>
      </c>
      <c r="B98" s="226" t="s">
        <v>198</v>
      </c>
      <c r="C98" s="213">
        <v>63375</v>
      </c>
      <c r="D98" s="230">
        <v>14607.2</v>
      </c>
    </row>
    <row r="99" spans="1:4" hidden="1">
      <c r="A99" s="211" t="s">
        <v>22</v>
      </c>
      <c r="B99" s="229" t="s">
        <v>21</v>
      </c>
      <c r="C99" s="213">
        <v>4151439</v>
      </c>
      <c r="D99" s="230">
        <v>1929235</v>
      </c>
    </row>
    <row r="100" spans="1:4" hidden="1">
      <c r="A100" s="210" t="s">
        <v>58</v>
      </c>
      <c r="B100" s="154" t="s">
        <v>59</v>
      </c>
      <c r="C100" s="213">
        <v>150000</v>
      </c>
      <c r="D100" s="230">
        <v>95981.33</v>
      </c>
    </row>
    <row r="101" spans="1:4" hidden="1">
      <c r="A101" s="207" t="s">
        <v>24</v>
      </c>
      <c r="B101" s="227" t="s">
        <v>25</v>
      </c>
      <c r="C101" s="209">
        <v>700000</v>
      </c>
      <c r="D101" s="231">
        <v>446975.1</v>
      </c>
    </row>
    <row r="102" spans="1:4" ht="22.5" hidden="1">
      <c r="A102" s="228" t="s">
        <v>26</v>
      </c>
      <c r="B102" s="226" t="s">
        <v>29</v>
      </c>
      <c r="C102" s="213">
        <v>17207</v>
      </c>
      <c r="D102" s="230">
        <v>41744.39</v>
      </c>
    </row>
    <row r="103" spans="1:4" ht="22.5" hidden="1">
      <c r="A103" s="225" t="s">
        <v>201</v>
      </c>
      <c r="B103" s="227" t="s">
        <v>202</v>
      </c>
      <c r="C103" s="218">
        <v>139000</v>
      </c>
      <c r="D103" s="220">
        <v>141973.85999999999</v>
      </c>
    </row>
    <row r="104" spans="1:4" hidden="1">
      <c r="A104" s="197" t="s">
        <v>136</v>
      </c>
      <c r="B104" s="156" t="s">
        <v>178</v>
      </c>
      <c r="C104" s="196">
        <v>6948</v>
      </c>
      <c r="D104" s="219">
        <v>5215.8999999999996</v>
      </c>
    </row>
    <row r="105" spans="1:4" ht="22.5" hidden="1">
      <c r="A105" s="197" t="s">
        <v>160</v>
      </c>
      <c r="B105" s="151" t="s">
        <v>174</v>
      </c>
      <c r="C105" s="196">
        <v>2897</v>
      </c>
      <c r="D105" s="219">
        <v>2540.84</v>
      </c>
    </row>
    <row r="106" spans="1:4" hidden="1">
      <c r="A106" s="197" t="s">
        <v>43</v>
      </c>
      <c r="B106" s="154" t="s">
        <v>44</v>
      </c>
      <c r="C106" s="196">
        <v>0</v>
      </c>
      <c r="D106" s="219">
        <v>149.6</v>
      </c>
    </row>
    <row r="107" spans="1:4" hidden="1">
      <c r="A107" s="150" t="s">
        <v>43</v>
      </c>
      <c r="B107" s="154" t="s">
        <v>44</v>
      </c>
      <c r="C107" s="196">
        <v>16420</v>
      </c>
      <c r="D107" s="219">
        <v>1161.07</v>
      </c>
    </row>
    <row r="108" spans="1:4" hidden="1">
      <c r="A108" s="225" t="s">
        <v>43</v>
      </c>
      <c r="B108" s="154" t="s">
        <v>44</v>
      </c>
      <c r="C108" s="218"/>
      <c r="D108" s="220">
        <v>12159.73</v>
      </c>
    </row>
    <row r="109" spans="1:4" hidden="1">
      <c r="A109" s="197" t="s">
        <v>43</v>
      </c>
      <c r="B109" s="154" t="s">
        <v>44</v>
      </c>
      <c r="C109" s="196">
        <v>500</v>
      </c>
      <c r="D109" s="219">
        <v>204</v>
      </c>
    </row>
    <row r="110" spans="1:4" hidden="1">
      <c r="A110" s="197" t="s">
        <v>43</v>
      </c>
      <c r="B110" s="154" t="s">
        <v>44</v>
      </c>
      <c r="C110" s="196">
        <v>60</v>
      </c>
      <c r="D110" s="219">
        <v>52.2</v>
      </c>
    </row>
    <row r="111" spans="1:4" hidden="1">
      <c r="A111" s="197" t="s">
        <v>43</v>
      </c>
      <c r="B111" s="154" t="s">
        <v>44</v>
      </c>
      <c r="C111" s="196">
        <v>20</v>
      </c>
      <c r="D111" s="219">
        <v>17.399999999999999</v>
      </c>
    </row>
    <row r="112" spans="1:4" hidden="1">
      <c r="A112" s="197" t="s">
        <v>43</v>
      </c>
      <c r="B112" s="154" t="s">
        <v>44</v>
      </c>
      <c r="C112" s="196">
        <v>20</v>
      </c>
      <c r="D112" s="219">
        <v>17.399999999999999</v>
      </c>
    </row>
    <row r="113" spans="1:4" hidden="1">
      <c r="A113" s="197" t="s">
        <v>43</v>
      </c>
      <c r="B113" s="154" t="s">
        <v>44</v>
      </c>
      <c r="C113" s="196">
        <v>958</v>
      </c>
      <c r="D113" s="219">
        <v>390</v>
      </c>
    </row>
    <row r="114" spans="1:4" hidden="1">
      <c r="A114" s="197" t="s">
        <v>43</v>
      </c>
      <c r="B114" s="154" t="s">
        <v>44</v>
      </c>
      <c r="C114" s="196">
        <v>1500</v>
      </c>
      <c r="D114" s="219">
        <v>133</v>
      </c>
    </row>
    <row r="115" spans="1:4" ht="33.75" hidden="1">
      <c r="A115" s="197" t="s">
        <v>27</v>
      </c>
      <c r="B115" s="151" t="s">
        <v>185</v>
      </c>
      <c r="C115" s="196">
        <v>10200</v>
      </c>
      <c r="D115" s="219">
        <v>5100</v>
      </c>
    </row>
    <row r="116" spans="1:4" ht="33.75" hidden="1">
      <c r="A116" s="197" t="s">
        <v>27</v>
      </c>
      <c r="B116" s="151" t="s">
        <v>185</v>
      </c>
      <c r="C116" s="196">
        <v>40000</v>
      </c>
      <c r="D116" s="219">
        <v>13080.64</v>
      </c>
    </row>
    <row r="117" spans="1:4" ht="33.75" hidden="1">
      <c r="A117" s="197" t="s">
        <v>27</v>
      </c>
      <c r="B117" s="151" t="s">
        <v>185</v>
      </c>
      <c r="C117" s="218">
        <v>3000</v>
      </c>
      <c r="D117" s="220">
        <v>1950</v>
      </c>
    </row>
    <row r="118" spans="1:4" ht="33.75" hidden="1">
      <c r="A118" s="197" t="s">
        <v>27</v>
      </c>
      <c r="B118" s="151" t="s">
        <v>185</v>
      </c>
      <c r="C118" s="196">
        <v>5200</v>
      </c>
      <c r="D118" s="219">
        <v>3800</v>
      </c>
    </row>
    <row r="119" spans="1:4" ht="33.75" hidden="1">
      <c r="A119" s="197" t="s">
        <v>27</v>
      </c>
      <c r="B119" s="151" t="s">
        <v>185</v>
      </c>
      <c r="C119" s="196">
        <v>40000</v>
      </c>
      <c r="D119" s="219">
        <v>22644.47</v>
      </c>
    </row>
    <row r="120" spans="1:4" ht="33.75" hidden="1">
      <c r="A120" s="197" t="s">
        <v>27</v>
      </c>
      <c r="B120" s="151" t="s">
        <v>185</v>
      </c>
      <c r="C120" s="196">
        <v>1200</v>
      </c>
      <c r="D120" s="219">
        <v>3465</v>
      </c>
    </row>
    <row r="121" spans="1:4" ht="33.75" hidden="1">
      <c r="A121" s="197" t="s">
        <v>27</v>
      </c>
      <c r="B121" s="151" t="s">
        <v>185</v>
      </c>
      <c r="C121" s="196">
        <v>400</v>
      </c>
      <c r="D121" s="219">
        <v>1154.96</v>
      </c>
    </row>
    <row r="122" spans="1:4" ht="33.75" hidden="1">
      <c r="A122" s="197" t="s">
        <v>27</v>
      </c>
      <c r="B122" s="151" t="s">
        <v>185</v>
      </c>
      <c r="C122" s="196">
        <v>400</v>
      </c>
      <c r="D122" s="219">
        <v>1154.96</v>
      </c>
    </row>
    <row r="123" spans="1:4" ht="33.75" hidden="1">
      <c r="A123" s="197" t="s">
        <v>27</v>
      </c>
      <c r="B123" s="151" t="s">
        <v>185</v>
      </c>
      <c r="C123" s="196">
        <v>32598</v>
      </c>
      <c r="D123" s="219">
        <v>21323.52</v>
      </c>
    </row>
    <row r="124" spans="1:4" ht="33.75" hidden="1">
      <c r="A124" s="197" t="s">
        <v>27</v>
      </c>
      <c r="B124" s="151" t="s">
        <v>185</v>
      </c>
      <c r="C124" s="196">
        <v>14719</v>
      </c>
      <c r="D124" s="219">
        <v>31543.25</v>
      </c>
    </row>
    <row r="125" spans="1:4" ht="33.75" hidden="1">
      <c r="A125" s="197" t="s">
        <v>27</v>
      </c>
      <c r="B125" s="151" t="s">
        <v>185</v>
      </c>
      <c r="C125" s="196">
        <v>0</v>
      </c>
      <c r="D125" s="219">
        <v>5634.36</v>
      </c>
    </row>
    <row r="126" spans="1:4" ht="33.75" hidden="1">
      <c r="A126" s="197" t="s">
        <v>27</v>
      </c>
      <c r="B126" s="151" t="s">
        <v>185</v>
      </c>
      <c r="C126" s="196">
        <v>5850</v>
      </c>
      <c r="D126" s="219">
        <v>8350</v>
      </c>
    </row>
    <row r="127" spans="1:4" ht="33.75" hidden="1">
      <c r="A127" s="197" t="s">
        <v>27</v>
      </c>
      <c r="B127" s="151" t="s">
        <v>139</v>
      </c>
      <c r="C127" s="196">
        <v>37694</v>
      </c>
      <c r="D127" s="219">
        <v>26247.16</v>
      </c>
    </row>
    <row r="128" spans="1:4" ht="33.75" hidden="1">
      <c r="A128" s="197" t="s">
        <v>27</v>
      </c>
      <c r="B128" s="151" t="s">
        <v>185</v>
      </c>
      <c r="C128" s="196">
        <v>900</v>
      </c>
      <c r="D128" s="219">
        <v>3000</v>
      </c>
    </row>
    <row r="129" spans="1:4" ht="33.75" hidden="1">
      <c r="A129" s="197" t="s">
        <v>27</v>
      </c>
      <c r="B129" s="151" t="s">
        <v>185</v>
      </c>
      <c r="C129" s="196">
        <v>13945</v>
      </c>
      <c r="D129" s="219">
        <v>7838.68</v>
      </c>
    </row>
    <row r="130" spans="1:4" ht="33.75" hidden="1">
      <c r="A130" s="197" t="s">
        <v>27</v>
      </c>
      <c r="B130" s="151" t="s">
        <v>185</v>
      </c>
      <c r="C130" s="196">
        <v>6500</v>
      </c>
      <c r="D130" s="219">
        <v>2100</v>
      </c>
    </row>
    <row r="131" spans="1:4" ht="33.75" hidden="1">
      <c r="A131" s="197" t="s">
        <v>27</v>
      </c>
      <c r="B131" s="151" t="s">
        <v>185</v>
      </c>
      <c r="C131" s="196">
        <v>150</v>
      </c>
      <c r="D131" s="219">
        <v>150</v>
      </c>
    </row>
    <row r="132" spans="1:4" ht="33.75" hidden="1">
      <c r="A132" s="197" t="s">
        <v>27</v>
      </c>
      <c r="B132" s="151" t="s">
        <v>185</v>
      </c>
      <c r="C132" s="196">
        <v>0</v>
      </c>
      <c r="D132" s="219">
        <v>7963.85</v>
      </c>
    </row>
    <row r="133" spans="1:4" ht="22.5" hidden="1">
      <c r="A133" s="197" t="s">
        <v>28</v>
      </c>
      <c r="B133" s="151" t="s">
        <v>66</v>
      </c>
      <c r="C133" s="196">
        <v>812900</v>
      </c>
      <c r="D133" s="219">
        <v>812900</v>
      </c>
    </row>
    <row r="134" spans="1:4" ht="22.5" hidden="1">
      <c r="A134" s="197" t="s">
        <v>28</v>
      </c>
      <c r="B134" s="151" t="s">
        <v>66</v>
      </c>
      <c r="C134" s="196">
        <v>1114479</v>
      </c>
      <c r="D134" s="219">
        <v>757956.11</v>
      </c>
    </row>
    <row r="135" spans="1:4" hidden="1">
      <c r="A135" s="197" t="s">
        <v>61</v>
      </c>
      <c r="B135" s="151" t="s">
        <v>63</v>
      </c>
      <c r="C135" s="196">
        <v>510</v>
      </c>
      <c r="D135" s="219">
        <v>510.04</v>
      </c>
    </row>
    <row r="136" spans="1:4" hidden="1">
      <c r="A136" s="197" t="s">
        <v>61</v>
      </c>
      <c r="B136" s="151" t="s">
        <v>63</v>
      </c>
      <c r="C136" s="196">
        <v>1500</v>
      </c>
      <c r="D136" s="219">
        <v>1768.2</v>
      </c>
    </row>
    <row r="137" spans="1:4" hidden="1">
      <c r="A137" s="197" t="s">
        <v>61</v>
      </c>
      <c r="B137" s="151" t="s">
        <v>63</v>
      </c>
      <c r="C137" s="196">
        <v>10539</v>
      </c>
      <c r="D137" s="219">
        <v>7603.08</v>
      </c>
    </row>
    <row r="138" spans="1:4" hidden="1">
      <c r="A138" s="197" t="s">
        <v>61</v>
      </c>
      <c r="B138" s="151" t="s">
        <v>63</v>
      </c>
      <c r="C138" s="196">
        <v>19308</v>
      </c>
      <c r="D138" s="219">
        <v>32696.59</v>
      </c>
    </row>
    <row r="139" spans="1:4" hidden="1">
      <c r="A139" s="197" t="s">
        <v>61</v>
      </c>
      <c r="B139" s="151" t="s">
        <v>63</v>
      </c>
      <c r="C139" s="196">
        <v>9252</v>
      </c>
      <c r="D139" s="219">
        <v>9060.11</v>
      </c>
    </row>
    <row r="140" spans="1:4" hidden="1">
      <c r="A140" s="197" t="s">
        <v>61</v>
      </c>
      <c r="B140" s="151" t="s">
        <v>63</v>
      </c>
      <c r="C140" s="196">
        <v>17000</v>
      </c>
      <c r="D140" s="219">
        <v>6060</v>
      </c>
    </row>
    <row r="141" spans="1:4" hidden="1">
      <c r="A141" s="197" t="s">
        <v>61</v>
      </c>
      <c r="B141" s="151" t="s">
        <v>63</v>
      </c>
      <c r="C141" s="196">
        <v>67473</v>
      </c>
      <c r="D141" s="219">
        <v>23842</v>
      </c>
    </row>
    <row r="142" spans="1:4" hidden="1">
      <c r="A142" s="197" t="s">
        <v>61</v>
      </c>
      <c r="B142" s="151" t="s">
        <v>63</v>
      </c>
      <c r="C142" s="196">
        <v>75000</v>
      </c>
      <c r="D142" s="219">
        <v>73088.86</v>
      </c>
    </row>
    <row r="143" spans="1:4" hidden="1">
      <c r="A143" s="197" t="s">
        <v>61</v>
      </c>
      <c r="B143" s="151" t="s">
        <v>63</v>
      </c>
      <c r="C143" s="196">
        <v>35086</v>
      </c>
      <c r="D143" s="219">
        <v>13143.46</v>
      </c>
    </row>
    <row r="144" spans="1:4" hidden="1">
      <c r="A144" s="197" t="s">
        <v>252</v>
      </c>
      <c r="B144" s="151" t="s">
        <v>257</v>
      </c>
      <c r="C144" s="196"/>
      <c r="D144" s="219">
        <v>169.33</v>
      </c>
    </row>
    <row r="145" spans="1:4" ht="22.5" hidden="1">
      <c r="A145" s="210" t="s">
        <v>253</v>
      </c>
      <c r="B145" s="153" t="s">
        <v>258</v>
      </c>
      <c r="C145" s="216"/>
      <c r="D145" s="219">
        <v>1469.2</v>
      </c>
    </row>
    <row r="146" spans="1:4" ht="22.5" hidden="1">
      <c r="A146" s="210" t="s">
        <v>253</v>
      </c>
      <c r="B146" s="153" t="s">
        <v>258</v>
      </c>
      <c r="C146" s="196">
        <v>0</v>
      </c>
      <c r="D146" s="219">
        <v>42</v>
      </c>
    </row>
    <row r="147" spans="1:4" hidden="1">
      <c r="A147" s="210" t="s">
        <v>250</v>
      </c>
      <c r="B147" s="151" t="s">
        <v>255</v>
      </c>
      <c r="C147" s="196">
        <v>0</v>
      </c>
      <c r="D147" s="219">
        <v>2.2200000000000002</v>
      </c>
    </row>
    <row r="148" spans="1:4" hidden="1">
      <c r="A148" s="210" t="s">
        <v>250</v>
      </c>
      <c r="B148" s="151" t="s">
        <v>255</v>
      </c>
      <c r="C148" s="196"/>
      <c r="D148" s="219">
        <v>56.7</v>
      </c>
    </row>
    <row r="149" spans="1:4" hidden="1">
      <c r="A149" s="210" t="s">
        <v>250</v>
      </c>
      <c r="B149" s="151" t="s">
        <v>255</v>
      </c>
      <c r="C149" s="218"/>
      <c r="D149" s="220">
        <v>177.99</v>
      </c>
    </row>
    <row r="150" spans="1:4" hidden="1">
      <c r="A150" s="210" t="s">
        <v>55</v>
      </c>
      <c r="B150" s="151" t="s">
        <v>65</v>
      </c>
      <c r="C150" s="196">
        <v>400</v>
      </c>
      <c r="D150" s="219">
        <v>1234.29</v>
      </c>
    </row>
    <row r="151" spans="1:4" hidden="1">
      <c r="A151" s="210" t="s">
        <v>55</v>
      </c>
      <c r="B151" s="151" t="s">
        <v>65</v>
      </c>
      <c r="C151" s="196">
        <v>10000</v>
      </c>
      <c r="D151" s="219">
        <v>1670.9</v>
      </c>
    </row>
    <row r="152" spans="1:4" hidden="1">
      <c r="A152" s="210" t="s">
        <v>55</v>
      </c>
      <c r="B152" s="151" t="s">
        <v>65</v>
      </c>
      <c r="C152" s="196">
        <v>0</v>
      </c>
      <c r="D152" s="219">
        <v>369.18</v>
      </c>
    </row>
    <row r="153" spans="1:4" hidden="1">
      <c r="A153" s="180" t="s">
        <v>55</v>
      </c>
      <c r="B153" s="151" t="s">
        <v>65</v>
      </c>
      <c r="C153" s="196">
        <v>0</v>
      </c>
      <c r="D153" s="219">
        <v>308.86</v>
      </c>
    </row>
    <row r="154" spans="1:4" hidden="1">
      <c r="A154" s="210" t="s">
        <v>55</v>
      </c>
      <c r="B154" s="151" t="s">
        <v>65</v>
      </c>
      <c r="C154" s="196">
        <v>0</v>
      </c>
      <c r="D154" s="219">
        <v>3873.64</v>
      </c>
    </row>
    <row r="155" spans="1:4" hidden="1">
      <c r="A155" s="210" t="s">
        <v>55</v>
      </c>
      <c r="B155" s="154" t="s">
        <v>65</v>
      </c>
      <c r="C155" s="196">
        <v>37477</v>
      </c>
      <c r="D155" s="219">
        <v>69143.710000000006</v>
      </c>
    </row>
    <row r="156" spans="1:4" hidden="1">
      <c r="A156" s="210" t="s">
        <v>55</v>
      </c>
      <c r="B156" s="151" t="s">
        <v>65</v>
      </c>
      <c r="C156" s="196">
        <v>450</v>
      </c>
      <c r="D156" s="219">
        <v>438.53</v>
      </c>
    </row>
    <row r="157" spans="1:4" hidden="1">
      <c r="A157" s="210" t="s">
        <v>55</v>
      </c>
      <c r="B157" s="151" t="s">
        <v>65</v>
      </c>
      <c r="C157" s="196">
        <v>360</v>
      </c>
      <c r="D157" s="219">
        <v>531.79</v>
      </c>
    </row>
    <row r="158" spans="1:4" hidden="1">
      <c r="A158" s="210" t="s">
        <v>55</v>
      </c>
      <c r="B158" s="151" t="s">
        <v>65</v>
      </c>
      <c r="C158" s="196">
        <v>54</v>
      </c>
      <c r="D158" s="219">
        <v>100.79</v>
      </c>
    </row>
    <row r="159" spans="1:4" hidden="1">
      <c r="A159" s="210" t="s">
        <v>55</v>
      </c>
      <c r="B159" s="151" t="s">
        <v>65</v>
      </c>
      <c r="C159" s="196">
        <v>18</v>
      </c>
      <c r="D159" s="219">
        <v>33.57</v>
      </c>
    </row>
    <row r="160" spans="1:4" hidden="1">
      <c r="A160" s="210" t="s">
        <v>55</v>
      </c>
      <c r="B160" s="151" t="s">
        <v>65</v>
      </c>
      <c r="C160" s="196">
        <v>18</v>
      </c>
      <c r="D160" s="219">
        <v>33.57</v>
      </c>
    </row>
    <row r="161" spans="1:4" hidden="1">
      <c r="A161" s="210" t="s">
        <v>55</v>
      </c>
      <c r="B161" s="151" t="s">
        <v>65</v>
      </c>
      <c r="C161" s="196">
        <v>1252</v>
      </c>
      <c r="D161" s="219">
        <v>1169.3599999999999</v>
      </c>
    </row>
    <row r="162" spans="1:4" hidden="1">
      <c r="A162" s="210" t="s">
        <v>55</v>
      </c>
      <c r="B162" s="151" t="s">
        <v>65</v>
      </c>
      <c r="C162" s="196">
        <v>700</v>
      </c>
      <c r="D162" s="219">
        <v>580.64</v>
      </c>
    </row>
    <row r="163" spans="1:4" hidden="1">
      <c r="A163" s="210" t="s">
        <v>55</v>
      </c>
      <c r="B163" s="151" t="s">
        <v>65</v>
      </c>
      <c r="C163" s="196">
        <v>3444</v>
      </c>
      <c r="D163" s="219">
        <v>2278.0300000000002</v>
      </c>
    </row>
    <row r="164" spans="1:4" hidden="1">
      <c r="A164" s="210" t="s">
        <v>55</v>
      </c>
      <c r="B164" s="151" t="s">
        <v>65</v>
      </c>
      <c r="C164" s="196">
        <v>0</v>
      </c>
      <c r="D164" s="219">
        <v>7369.52</v>
      </c>
    </row>
    <row r="165" spans="1:4" hidden="1">
      <c r="A165" s="210" t="s">
        <v>55</v>
      </c>
      <c r="B165" s="151" t="s">
        <v>65</v>
      </c>
      <c r="C165" s="216">
        <v>0</v>
      </c>
      <c r="D165" s="220">
        <v>65.599999999999994</v>
      </c>
    </row>
    <row r="166" spans="1:4" hidden="1">
      <c r="A166" s="210" t="s">
        <v>55</v>
      </c>
      <c r="B166" s="151" t="s">
        <v>65</v>
      </c>
      <c r="C166" s="196">
        <v>0</v>
      </c>
      <c r="D166" s="219">
        <v>373.34</v>
      </c>
    </row>
    <row r="167" spans="1:4" hidden="1">
      <c r="A167" s="210" t="s">
        <v>55</v>
      </c>
      <c r="B167" s="151" t="s">
        <v>65</v>
      </c>
      <c r="C167" s="196">
        <v>300</v>
      </c>
      <c r="D167" s="219">
        <v>1118.94</v>
      </c>
    </row>
    <row r="168" spans="1:4" hidden="1">
      <c r="A168" s="197" t="s">
        <v>55</v>
      </c>
      <c r="B168" s="151" t="s">
        <v>65</v>
      </c>
      <c r="C168" s="196">
        <v>500</v>
      </c>
      <c r="D168" s="219">
        <v>3591.94</v>
      </c>
    </row>
    <row r="169" spans="1:4" hidden="1">
      <c r="A169" s="197" t="s">
        <v>55</v>
      </c>
      <c r="B169" s="151" t="s">
        <v>65</v>
      </c>
      <c r="C169" s="196">
        <v>500</v>
      </c>
      <c r="D169" s="219">
        <v>600.77</v>
      </c>
    </row>
    <row r="170" spans="1:4" hidden="1">
      <c r="A170" s="197" t="s">
        <v>55</v>
      </c>
      <c r="B170" s="151" t="s">
        <v>65</v>
      </c>
      <c r="C170" s="196">
        <v>323</v>
      </c>
      <c r="D170" s="219">
        <v>345.33</v>
      </c>
    </row>
    <row r="171" spans="1:4" hidden="1">
      <c r="A171" s="197" t="s">
        <v>55</v>
      </c>
      <c r="B171" s="151" t="s">
        <v>65</v>
      </c>
      <c r="C171" s="196">
        <v>300</v>
      </c>
      <c r="D171" s="219">
        <v>490.16</v>
      </c>
    </row>
    <row r="172" spans="1:4" hidden="1">
      <c r="A172" s="197" t="s">
        <v>107</v>
      </c>
      <c r="B172" s="151" t="s">
        <v>173</v>
      </c>
      <c r="C172" s="196">
        <v>60</v>
      </c>
      <c r="D172" s="219">
        <v>0</v>
      </c>
    </row>
    <row r="173" spans="1:4" hidden="1">
      <c r="A173" s="197" t="s">
        <v>107</v>
      </c>
      <c r="B173" s="151" t="s">
        <v>173</v>
      </c>
      <c r="C173" s="196">
        <v>20</v>
      </c>
      <c r="D173" s="219">
        <v>0</v>
      </c>
    </row>
    <row r="174" spans="1:4" hidden="1">
      <c r="A174" s="197" t="s">
        <v>107</v>
      </c>
      <c r="B174" s="151" t="s">
        <v>173</v>
      </c>
      <c r="C174" s="196">
        <v>20</v>
      </c>
      <c r="D174" s="219">
        <v>0</v>
      </c>
    </row>
    <row r="175" spans="1:4" hidden="1">
      <c r="A175" s="197" t="s">
        <v>107</v>
      </c>
      <c r="B175" s="151" t="s">
        <v>173</v>
      </c>
      <c r="C175" s="196">
        <v>1149</v>
      </c>
      <c r="D175" s="219">
        <v>1148.95</v>
      </c>
    </row>
    <row r="176" spans="1:4" hidden="1">
      <c r="A176" s="197" t="s">
        <v>107</v>
      </c>
      <c r="B176" s="151" t="s">
        <v>173</v>
      </c>
      <c r="C176" s="196">
        <v>0</v>
      </c>
      <c r="D176" s="219">
        <v>165.91</v>
      </c>
    </row>
    <row r="177" spans="1:4" hidden="1">
      <c r="A177" s="197" t="s">
        <v>62</v>
      </c>
      <c r="B177" s="151" t="s">
        <v>64</v>
      </c>
      <c r="C177" s="196">
        <v>3190</v>
      </c>
      <c r="D177" s="219">
        <v>10280.530000000001</v>
      </c>
    </row>
    <row r="178" spans="1:4" hidden="1">
      <c r="A178" s="197" t="s">
        <v>62</v>
      </c>
      <c r="B178" s="151" t="s">
        <v>64</v>
      </c>
      <c r="C178" s="196">
        <v>5000</v>
      </c>
      <c r="D178" s="219">
        <v>200.23</v>
      </c>
    </row>
    <row r="179" spans="1:4" hidden="1">
      <c r="A179" s="150" t="s">
        <v>62</v>
      </c>
      <c r="B179" s="151" t="s">
        <v>64</v>
      </c>
      <c r="C179" s="196">
        <v>0</v>
      </c>
      <c r="D179" s="219">
        <v>11884.08</v>
      </c>
    </row>
    <row r="180" spans="1:4" hidden="1">
      <c r="A180" s="197" t="s">
        <v>62</v>
      </c>
      <c r="B180" s="151" t="s">
        <v>64</v>
      </c>
      <c r="C180" s="196">
        <v>0</v>
      </c>
      <c r="D180" s="219">
        <v>330</v>
      </c>
    </row>
    <row r="181" spans="1:4" hidden="1">
      <c r="A181" s="197" t="s">
        <v>62</v>
      </c>
      <c r="B181" s="151" t="s">
        <v>64</v>
      </c>
      <c r="C181" s="196">
        <v>300</v>
      </c>
      <c r="D181" s="219">
        <v>156.08000000000001</v>
      </c>
    </row>
    <row r="182" spans="1:4" hidden="1">
      <c r="A182" s="197" t="s">
        <v>62</v>
      </c>
      <c r="B182" s="151" t="s">
        <v>64</v>
      </c>
      <c r="C182" s="196">
        <v>72</v>
      </c>
      <c r="D182" s="219">
        <v>28.6</v>
      </c>
    </row>
    <row r="183" spans="1:4" hidden="1">
      <c r="A183" s="197" t="s">
        <v>62</v>
      </c>
      <c r="B183" s="151" t="s">
        <v>64</v>
      </c>
      <c r="C183" s="196">
        <v>24</v>
      </c>
      <c r="D183" s="219">
        <v>9.52</v>
      </c>
    </row>
    <row r="184" spans="1:4" hidden="1">
      <c r="A184" s="197" t="s">
        <v>62</v>
      </c>
      <c r="B184" s="151" t="s">
        <v>64</v>
      </c>
      <c r="C184" s="196">
        <v>24</v>
      </c>
      <c r="D184" s="219">
        <v>9.52</v>
      </c>
    </row>
    <row r="185" spans="1:4" hidden="1">
      <c r="A185" s="197" t="s">
        <v>62</v>
      </c>
      <c r="B185" s="151" t="s">
        <v>64</v>
      </c>
      <c r="C185" s="196">
        <v>7436</v>
      </c>
      <c r="D185" s="219">
        <v>7370.49</v>
      </c>
    </row>
    <row r="186" spans="1:4" hidden="1">
      <c r="A186" s="197" t="s">
        <v>62</v>
      </c>
      <c r="B186" s="151" t="s">
        <v>64</v>
      </c>
      <c r="C186" s="196">
        <v>1548</v>
      </c>
      <c r="D186" s="219">
        <v>1548</v>
      </c>
    </row>
    <row r="187" spans="1:4" hidden="1">
      <c r="A187" s="197" t="s">
        <v>62</v>
      </c>
      <c r="B187" s="151" t="s">
        <v>64</v>
      </c>
      <c r="C187" s="196">
        <v>676</v>
      </c>
      <c r="D187" s="219">
        <v>826.37</v>
      </c>
    </row>
    <row r="188" spans="1:4" hidden="1">
      <c r="A188" s="197" t="s">
        <v>62</v>
      </c>
      <c r="B188" s="151" t="s">
        <v>64</v>
      </c>
      <c r="C188" s="196">
        <v>0</v>
      </c>
      <c r="D188" s="219">
        <v>98</v>
      </c>
    </row>
    <row r="189" spans="1:4" hidden="1">
      <c r="A189" s="197" t="s">
        <v>62</v>
      </c>
      <c r="B189" s="151" t="s">
        <v>64</v>
      </c>
      <c r="C189" s="196"/>
      <c r="D189" s="219">
        <v>638.64</v>
      </c>
    </row>
    <row r="190" spans="1:4" hidden="1">
      <c r="A190" s="197" t="s">
        <v>62</v>
      </c>
      <c r="B190" s="151" t="s">
        <v>64</v>
      </c>
      <c r="C190" s="196">
        <v>30650</v>
      </c>
      <c r="D190" s="219">
        <v>16959</v>
      </c>
    </row>
    <row r="191" spans="1:4" hidden="1">
      <c r="A191" s="197" t="s">
        <v>62</v>
      </c>
      <c r="B191" s="151" t="s">
        <v>64</v>
      </c>
      <c r="C191" s="196">
        <v>1200</v>
      </c>
      <c r="D191" s="219">
        <v>412.08</v>
      </c>
    </row>
    <row r="192" spans="1:4" hidden="1">
      <c r="A192" s="197" t="s">
        <v>62</v>
      </c>
      <c r="B192" s="151" t="s">
        <v>64</v>
      </c>
      <c r="C192" s="196">
        <v>0</v>
      </c>
      <c r="D192" s="219">
        <v>48</v>
      </c>
    </row>
    <row r="193" spans="1:4" hidden="1">
      <c r="A193" s="197" t="s">
        <v>62</v>
      </c>
      <c r="B193" s="151" t="s">
        <v>64</v>
      </c>
      <c r="C193" s="196">
        <v>65</v>
      </c>
      <c r="D193" s="219">
        <v>37</v>
      </c>
    </row>
    <row r="194" spans="1:4" hidden="1">
      <c r="A194" s="197" t="s">
        <v>62</v>
      </c>
      <c r="B194" s="151" t="s">
        <v>64</v>
      </c>
      <c r="C194" s="196">
        <v>1000</v>
      </c>
      <c r="D194" s="219">
        <v>0</v>
      </c>
    </row>
    <row r="195" spans="1:4" ht="22.5" hidden="1">
      <c r="A195" s="197" t="s">
        <v>254</v>
      </c>
      <c r="B195" s="151" t="s">
        <v>141</v>
      </c>
      <c r="C195" s="196">
        <v>0</v>
      </c>
      <c r="D195" s="219">
        <v>523.74</v>
      </c>
    </row>
    <row r="196" spans="1:4">
      <c r="C196" s="29"/>
      <c r="D196" s="232"/>
    </row>
  </sheetData>
  <sortState ref="A1:E192">
    <sortCondition ref="A1"/>
  </sortState>
  <mergeCells count="3">
    <mergeCell ref="A42:B42"/>
    <mergeCell ref="A27:B27"/>
    <mergeCell ref="B39:B40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N74"/>
  <sheetViews>
    <sheetView workbookViewId="0">
      <selection activeCell="O75" sqref="O75"/>
    </sheetView>
  </sheetViews>
  <sheetFormatPr defaultRowHeight="12.75"/>
  <cols>
    <col min="1" max="1" width="5.140625" customWidth="1"/>
    <col min="2" max="2" width="6.7109375" customWidth="1"/>
    <col min="3" max="3" width="18.5703125" hidden="1" customWidth="1"/>
    <col min="4" max="4" width="12.7109375" customWidth="1"/>
    <col min="5" max="5" width="10.7109375" customWidth="1"/>
    <col min="6" max="6" width="10.5703125" customWidth="1"/>
    <col min="7" max="7" width="10.85546875" customWidth="1"/>
    <col min="8" max="8" width="10.5703125" customWidth="1"/>
  </cols>
  <sheetData>
    <row r="1" spans="1:14">
      <c r="A1" t="s">
        <v>194</v>
      </c>
    </row>
    <row r="2" spans="1:14">
      <c r="A2" s="485" t="s">
        <v>0</v>
      </c>
      <c r="B2" s="485" t="s">
        <v>8</v>
      </c>
      <c r="C2" s="485" t="s">
        <v>1</v>
      </c>
      <c r="D2" s="485" t="s">
        <v>176</v>
      </c>
      <c r="E2" s="485" t="s">
        <v>134</v>
      </c>
      <c r="F2" s="567" t="s">
        <v>163</v>
      </c>
      <c r="G2" s="568"/>
      <c r="H2" s="568"/>
      <c r="I2" s="568"/>
      <c r="J2" s="568"/>
      <c r="K2" s="568"/>
      <c r="L2" s="568"/>
      <c r="M2" s="568"/>
      <c r="N2" s="564" t="s">
        <v>131</v>
      </c>
    </row>
    <row r="3" spans="1:14">
      <c r="A3" s="486"/>
      <c r="B3" s="486"/>
      <c r="C3" s="486"/>
      <c r="D3" s="486"/>
      <c r="E3" s="486"/>
      <c r="F3" s="460" t="s">
        <v>9</v>
      </c>
      <c r="G3" s="87" t="s">
        <v>10</v>
      </c>
      <c r="H3" s="87"/>
      <c r="I3" s="87"/>
      <c r="J3" s="87"/>
      <c r="K3" s="87"/>
      <c r="L3" s="88"/>
      <c r="M3" s="565" t="s">
        <v>162</v>
      </c>
      <c r="N3" s="564"/>
    </row>
    <row r="4" spans="1:14" ht="90.75">
      <c r="A4" s="487"/>
      <c r="B4" s="487"/>
      <c r="C4" s="487"/>
      <c r="D4" s="487"/>
      <c r="E4" s="487"/>
      <c r="F4" s="462"/>
      <c r="G4" s="157" t="s">
        <v>307</v>
      </c>
      <c r="H4" s="157" t="s">
        <v>311</v>
      </c>
      <c r="I4" s="157" t="s">
        <v>308</v>
      </c>
      <c r="J4" s="157" t="s">
        <v>309</v>
      </c>
      <c r="K4" s="346" t="s">
        <v>310</v>
      </c>
      <c r="L4" s="157" t="s">
        <v>11</v>
      </c>
      <c r="M4" s="566"/>
      <c r="N4" s="564"/>
    </row>
    <row r="5" spans="1:14">
      <c r="A5" s="149">
        <v>1</v>
      </c>
      <c r="B5" s="149">
        <v>2</v>
      </c>
      <c r="C5" s="149">
        <v>3</v>
      </c>
      <c r="D5" s="149">
        <v>4</v>
      </c>
      <c r="E5" s="149">
        <v>5</v>
      </c>
      <c r="F5" s="149">
        <v>6</v>
      </c>
      <c r="G5" s="149">
        <v>7</v>
      </c>
      <c r="H5" s="149">
        <v>8</v>
      </c>
      <c r="I5" s="149">
        <v>9</v>
      </c>
      <c r="J5" s="149">
        <v>10</v>
      </c>
      <c r="K5" s="149">
        <v>11</v>
      </c>
      <c r="L5" s="149">
        <v>12</v>
      </c>
      <c r="M5" s="149">
        <v>13</v>
      </c>
      <c r="N5" s="149">
        <v>14</v>
      </c>
    </row>
    <row r="6" spans="1:14">
      <c r="A6" s="59">
        <v>801</v>
      </c>
      <c r="B6" s="60"/>
      <c r="C6" s="355" t="s">
        <v>33</v>
      </c>
      <c r="D6" s="375">
        <f>SUM(D7:D11)</f>
        <v>4027005</v>
      </c>
      <c r="E6" s="375">
        <f t="shared" ref="E6:M6" si="0">SUM(E7:E11)</f>
        <v>2293235.39</v>
      </c>
      <c r="F6" s="375">
        <f t="shared" si="0"/>
        <v>2249890.5699999998</v>
      </c>
      <c r="G6" s="375">
        <f t="shared" si="0"/>
        <v>1727213.7899999998</v>
      </c>
      <c r="H6" s="375">
        <f t="shared" si="0"/>
        <v>517025.46000000031</v>
      </c>
      <c r="I6" s="375">
        <f t="shared" si="0"/>
        <v>0</v>
      </c>
      <c r="J6" s="375">
        <f t="shared" si="0"/>
        <v>5651.32</v>
      </c>
      <c r="K6" s="375">
        <f t="shared" si="0"/>
        <v>0</v>
      </c>
      <c r="L6" s="375">
        <f t="shared" si="0"/>
        <v>0</v>
      </c>
      <c r="M6" s="375">
        <f t="shared" si="0"/>
        <v>43344.82</v>
      </c>
      <c r="N6" s="381">
        <f>E6/D6*100</f>
        <v>56.946425196889507</v>
      </c>
    </row>
    <row r="7" spans="1:14">
      <c r="A7" s="62" t="s">
        <v>18</v>
      </c>
      <c r="B7" s="63">
        <v>80120</v>
      </c>
      <c r="C7" s="64" t="s">
        <v>70</v>
      </c>
      <c r="D7" s="378">
        <v>96619</v>
      </c>
      <c r="E7" s="378">
        <v>48573.42</v>
      </c>
      <c r="F7" s="378">
        <f>E7</f>
        <v>48573.42</v>
      </c>
      <c r="G7" s="378">
        <f>27779.18+7348+5305.72+794.29</f>
        <v>41227.19</v>
      </c>
      <c r="H7" s="378">
        <f>F7-G7-J7</f>
        <v>7311.3699999999963</v>
      </c>
      <c r="I7" s="378"/>
      <c r="J7" s="378">
        <v>34.86</v>
      </c>
      <c r="K7" s="378">
        <v>0</v>
      </c>
      <c r="L7" s="378">
        <v>0</v>
      </c>
      <c r="M7" s="379">
        <v>0</v>
      </c>
      <c r="N7" s="381">
        <f t="shared" ref="N7:N14" si="1">E7/D7*100</f>
        <v>50.273155383516702</v>
      </c>
    </row>
    <row r="8" spans="1:14">
      <c r="A8" s="62" t="s">
        <v>18</v>
      </c>
      <c r="B8" s="62">
        <v>80123</v>
      </c>
      <c r="C8" s="64" t="s">
        <v>76</v>
      </c>
      <c r="D8" s="378">
        <v>6424</v>
      </c>
      <c r="E8" s="378">
        <v>6423.14</v>
      </c>
      <c r="F8" s="378">
        <f>E8</f>
        <v>6423.14</v>
      </c>
      <c r="G8" s="378">
        <f>F8</f>
        <v>6423.14</v>
      </c>
      <c r="H8" s="378">
        <f>F8-G8</f>
        <v>0</v>
      </c>
      <c r="I8" s="378"/>
      <c r="J8" s="378"/>
      <c r="K8" s="378"/>
      <c r="L8" s="378"/>
      <c r="M8" s="379"/>
      <c r="N8" s="381">
        <f t="shared" si="1"/>
        <v>99.986612702366131</v>
      </c>
    </row>
    <row r="9" spans="1:14">
      <c r="A9" s="569" t="s">
        <v>18</v>
      </c>
      <c r="B9" s="356">
        <v>80130</v>
      </c>
      <c r="C9" s="64" t="s">
        <v>111</v>
      </c>
      <c r="D9" s="378">
        <v>3712847</v>
      </c>
      <c r="E9" s="378">
        <v>2117974.7200000002</v>
      </c>
      <c r="F9" s="378">
        <f>E9-M9</f>
        <v>2074629.9000000001</v>
      </c>
      <c r="G9" s="378">
        <f>1211087.34+178370.65+206928.41+30721.27+6702.4</f>
        <v>1633810.0699999998</v>
      </c>
      <c r="H9" s="378">
        <f>F9-G9-J9</f>
        <v>435403.37000000029</v>
      </c>
      <c r="I9" s="378"/>
      <c r="J9" s="378">
        <f>2320.46+3096</f>
        <v>5416.46</v>
      </c>
      <c r="K9" s="378"/>
      <c r="L9" s="378"/>
      <c r="M9" s="379">
        <v>43344.82</v>
      </c>
      <c r="N9" s="381">
        <f t="shared" si="1"/>
        <v>57.044492272372125</v>
      </c>
    </row>
    <row r="10" spans="1:14" ht="13.5" customHeight="1">
      <c r="A10" s="570"/>
      <c r="B10" s="356">
        <v>80140</v>
      </c>
      <c r="C10" s="67" t="s">
        <v>78</v>
      </c>
      <c r="D10" s="378">
        <v>192466</v>
      </c>
      <c r="E10" s="378">
        <v>119963.96</v>
      </c>
      <c r="F10" s="378">
        <f>E10</f>
        <v>119963.96</v>
      </c>
      <c r="G10" s="378">
        <f>16916.46+2509.91+6102.17+984.85+19240</f>
        <v>45753.39</v>
      </c>
      <c r="H10" s="378">
        <f>F10-G10-J10</f>
        <v>74010.570000000007</v>
      </c>
      <c r="I10" s="378"/>
      <c r="J10" s="378">
        <v>200</v>
      </c>
      <c r="K10" s="378"/>
      <c r="L10" s="378"/>
      <c r="M10" s="379"/>
      <c r="N10" s="381">
        <f t="shared" si="1"/>
        <v>62.329949185830223</v>
      </c>
    </row>
    <row r="11" spans="1:14">
      <c r="A11" s="571"/>
      <c r="B11" s="356">
        <v>80146</v>
      </c>
      <c r="C11" s="67" t="s">
        <v>79</v>
      </c>
      <c r="D11" s="378">
        <v>18649</v>
      </c>
      <c r="E11" s="378">
        <v>300.14999999999998</v>
      </c>
      <c r="F11" s="378">
        <f>E11</f>
        <v>300.14999999999998</v>
      </c>
      <c r="G11" s="378">
        <v>0</v>
      </c>
      <c r="H11" s="378">
        <f>F11-G11</f>
        <v>300.14999999999998</v>
      </c>
      <c r="I11" s="378"/>
      <c r="J11" s="378"/>
      <c r="K11" s="378"/>
      <c r="L11" s="378"/>
      <c r="M11" s="379"/>
      <c r="N11" s="381">
        <f t="shared" si="1"/>
        <v>1.6094696766582657</v>
      </c>
    </row>
    <row r="12" spans="1:14" ht="12.75" customHeight="1">
      <c r="A12" s="71">
        <v>854</v>
      </c>
      <c r="B12" s="60"/>
      <c r="C12" s="65" t="s">
        <v>37</v>
      </c>
      <c r="D12" s="376">
        <f>D13</f>
        <v>126398</v>
      </c>
      <c r="E12" s="376">
        <f t="shared" ref="E12:M12" si="2">E13</f>
        <v>77398.39</v>
      </c>
      <c r="F12" s="376">
        <f t="shared" si="2"/>
        <v>77398.39</v>
      </c>
      <c r="G12" s="376">
        <f t="shared" si="2"/>
        <v>43401.07</v>
      </c>
      <c r="H12" s="376">
        <f t="shared" si="2"/>
        <v>33997.32</v>
      </c>
      <c r="I12" s="376">
        <f t="shared" si="2"/>
        <v>0</v>
      </c>
      <c r="J12" s="376">
        <f t="shared" si="2"/>
        <v>0</v>
      </c>
      <c r="K12" s="376">
        <f t="shared" si="2"/>
        <v>0</v>
      </c>
      <c r="L12" s="376">
        <f t="shared" si="2"/>
        <v>0</v>
      </c>
      <c r="M12" s="376">
        <f t="shared" si="2"/>
        <v>0</v>
      </c>
      <c r="N12" s="381">
        <f t="shared" si="1"/>
        <v>61.233872371398277</v>
      </c>
    </row>
    <row r="13" spans="1:14">
      <c r="A13" s="77" t="s">
        <v>18</v>
      </c>
      <c r="B13" s="356">
        <v>85410</v>
      </c>
      <c r="C13" s="67" t="s">
        <v>82</v>
      </c>
      <c r="D13" s="378">
        <v>126398</v>
      </c>
      <c r="E13" s="378">
        <v>77398.39</v>
      </c>
      <c r="F13" s="378">
        <f>E13</f>
        <v>77398.39</v>
      </c>
      <c r="G13" s="378">
        <f>25342.39+4162.5+5055.78+722.18+8118.22</f>
        <v>43401.07</v>
      </c>
      <c r="H13" s="378">
        <f>F13-G13</f>
        <v>33997.32</v>
      </c>
      <c r="I13" s="378"/>
      <c r="J13" s="378"/>
      <c r="K13" s="378"/>
      <c r="L13" s="378"/>
      <c r="M13" s="379"/>
      <c r="N13" s="381">
        <f t="shared" si="1"/>
        <v>61.233872371398277</v>
      </c>
    </row>
    <row r="14" spans="1:14">
      <c r="A14" s="561" t="s">
        <v>32</v>
      </c>
      <c r="B14" s="562"/>
      <c r="C14" s="563"/>
      <c r="D14" s="377">
        <f>D6+D12</f>
        <v>4153403</v>
      </c>
      <c r="E14" s="377">
        <f t="shared" ref="E14:M14" si="3">E6+E12</f>
        <v>2370633.7800000003</v>
      </c>
      <c r="F14" s="377">
        <f t="shared" si="3"/>
        <v>2327288.96</v>
      </c>
      <c r="G14" s="377">
        <f t="shared" si="3"/>
        <v>1770614.8599999999</v>
      </c>
      <c r="H14" s="377">
        <f t="shared" si="3"/>
        <v>551022.78000000026</v>
      </c>
      <c r="I14" s="377">
        <f t="shared" si="3"/>
        <v>0</v>
      </c>
      <c r="J14" s="377">
        <f t="shared" si="3"/>
        <v>5651.32</v>
      </c>
      <c r="K14" s="377">
        <f t="shared" si="3"/>
        <v>0</v>
      </c>
      <c r="L14" s="377">
        <f t="shared" si="3"/>
        <v>0</v>
      </c>
      <c r="M14" s="377">
        <f t="shared" si="3"/>
        <v>43344.82</v>
      </c>
      <c r="N14" s="381">
        <f t="shared" si="1"/>
        <v>57.076902482133328</v>
      </c>
    </row>
    <row r="16" spans="1:14">
      <c r="G16" s="347"/>
    </row>
    <row r="17" spans="1:14">
      <c r="A17" t="s">
        <v>351</v>
      </c>
    </row>
    <row r="18" spans="1:14">
      <c r="A18" s="485" t="s">
        <v>0</v>
      </c>
      <c r="B18" s="485" t="s">
        <v>8</v>
      </c>
      <c r="C18" s="485" t="s">
        <v>1</v>
      </c>
      <c r="D18" s="485" t="s">
        <v>176</v>
      </c>
      <c r="E18" s="485" t="s">
        <v>134</v>
      </c>
      <c r="F18" s="567" t="s">
        <v>163</v>
      </c>
      <c r="G18" s="568"/>
      <c r="H18" s="568"/>
      <c r="I18" s="568"/>
      <c r="J18" s="568"/>
      <c r="K18" s="568"/>
      <c r="L18" s="568"/>
      <c r="M18" s="568"/>
      <c r="N18" s="564" t="s">
        <v>131</v>
      </c>
    </row>
    <row r="19" spans="1:14">
      <c r="A19" s="486"/>
      <c r="B19" s="486"/>
      <c r="C19" s="486"/>
      <c r="D19" s="486"/>
      <c r="E19" s="486"/>
      <c r="F19" s="460" t="s">
        <v>9</v>
      </c>
      <c r="G19" s="87" t="s">
        <v>10</v>
      </c>
      <c r="H19" s="87"/>
      <c r="I19" s="87"/>
      <c r="J19" s="87"/>
      <c r="K19" s="87"/>
      <c r="L19" s="88"/>
      <c r="M19" s="565" t="s">
        <v>162</v>
      </c>
      <c r="N19" s="564"/>
    </row>
    <row r="20" spans="1:14" ht="90.75">
      <c r="A20" s="487"/>
      <c r="B20" s="487"/>
      <c r="C20" s="487"/>
      <c r="D20" s="487"/>
      <c r="E20" s="487"/>
      <c r="F20" s="462"/>
      <c r="G20" s="157" t="s">
        <v>307</v>
      </c>
      <c r="H20" s="157" t="s">
        <v>311</v>
      </c>
      <c r="I20" s="157" t="s">
        <v>308</v>
      </c>
      <c r="J20" s="157" t="s">
        <v>309</v>
      </c>
      <c r="K20" s="346" t="s">
        <v>310</v>
      </c>
      <c r="L20" s="157" t="s">
        <v>11</v>
      </c>
      <c r="M20" s="566"/>
      <c r="N20" s="564"/>
    </row>
    <row r="21" spans="1:14">
      <c r="A21" s="149">
        <v>1</v>
      </c>
      <c r="B21" s="149">
        <v>2</v>
      </c>
      <c r="C21" s="149">
        <v>3</v>
      </c>
      <c r="D21" s="149">
        <v>4</v>
      </c>
      <c r="E21" s="149">
        <v>5</v>
      </c>
      <c r="F21" s="149">
        <v>6</v>
      </c>
      <c r="G21" s="149">
        <v>7</v>
      </c>
      <c r="H21" s="149">
        <v>8</v>
      </c>
      <c r="I21" s="149">
        <v>9</v>
      </c>
      <c r="J21" s="149">
        <v>10</v>
      </c>
      <c r="K21" s="149">
        <v>11</v>
      </c>
      <c r="L21" s="149">
        <v>12</v>
      </c>
      <c r="M21" s="149">
        <v>13</v>
      </c>
      <c r="N21" s="149">
        <v>14</v>
      </c>
    </row>
    <row r="22" spans="1:14">
      <c r="A22" s="59">
        <v>801</v>
      </c>
      <c r="B22" s="60"/>
      <c r="C22" s="355" t="s">
        <v>33</v>
      </c>
      <c r="D22" s="375">
        <f>D23+D24+D25</f>
        <v>1658411.8</v>
      </c>
      <c r="E22" s="375">
        <f t="shared" ref="E22:M22" si="4">E23+E24+E25</f>
        <v>927063.08</v>
      </c>
      <c r="F22" s="375">
        <f t="shared" si="4"/>
        <v>927063.08</v>
      </c>
      <c r="G22" s="375">
        <f t="shared" si="4"/>
        <v>767683.48</v>
      </c>
      <c r="H22" s="375">
        <f t="shared" si="4"/>
        <v>156513.84999999992</v>
      </c>
      <c r="I22" s="375">
        <f t="shared" si="4"/>
        <v>0</v>
      </c>
      <c r="J22" s="375">
        <f t="shared" si="4"/>
        <v>2865.75</v>
      </c>
      <c r="K22" s="375">
        <f t="shared" si="4"/>
        <v>0</v>
      </c>
      <c r="L22" s="375">
        <f t="shared" si="4"/>
        <v>0</v>
      </c>
      <c r="M22" s="375">
        <f t="shared" si="4"/>
        <v>0</v>
      </c>
      <c r="N22" s="381">
        <f>E22/D22*100</f>
        <v>55.900656278494878</v>
      </c>
    </row>
    <row r="23" spans="1:14">
      <c r="A23" s="62" t="s">
        <v>18</v>
      </c>
      <c r="B23" s="63">
        <v>80102</v>
      </c>
      <c r="C23" s="64" t="s">
        <v>70</v>
      </c>
      <c r="D23" s="342">
        <v>1047094</v>
      </c>
      <c r="E23" s="342">
        <v>567006.82999999996</v>
      </c>
      <c r="F23" s="342">
        <f>E23</f>
        <v>567006.82999999996</v>
      </c>
      <c r="G23" s="344">
        <f>333423.16+52123+44051.34+8758.45+108.78</f>
        <v>438464.73000000004</v>
      </c>
      <c r="H23" s="342">
        <f>F23-G23-J23</f>
        <v>127156.34999999992</v>
      </c>
      <c r="I23" s="342"/>
      <c r="J23" s="342">
        <v>1385.75</v>
      </c>
      <c r="K23" s="342"/>
      <c r="L23" s="342">
        <v>0</v>
      </c>
      <c r="M23" s="342">
        <v>0</v>
      </c>
      <c r="N23" s="381">
        <f t="shared" ref="N23:N26" si="5">E23/D23*100</f>
        <v>54.150518482581312</v>
      </c>
    </row>
    <row r="24" spans="1:14">
      <c r="A24" s="62" t="s">
        <v>18</v>
      </c>
      <c r="B24" s="62">
        <v>80111</v>
      </c>
      <c r="C24" s="64" t="s">
        <v>76</v>
      </c>
      <c r="D24" s="378">
        <v>603128</v>
      </c>
      <c r="E24" s="378">
        <v>358367.75</v>
      </c>
      <c r="F24" s="378">
        <f>E24</f>
        <v>358367.75</v>
      </c>
      <c r="G24" s="378">
        <f>248291.93+34693+40195.45+6038.37</f>
        <v>329218.75</v>
      </c>
      <c r="H24" s="378">
        <f>F24-G24-J24</f>
        <v>27669</v>
      </c>
      <c r="I24" s="378"/>
      <c r="J24" s="378">
        <v>1480</v>
      </c>
      <c r="K24" s="378"/>
      <c r="L24" s="378"/>
      <c r="M24" s="379"/>
      <c r="N24" s="381">
        <f t="shared" si="5"/>
        <v>59.418191495006035</v>
      </c>
    </row>
    <row r="25" spans="1:14">
      <c r="A25" s="79"/>
      <c r="B25" s="356">
        <v>80146</v>
      </c>
      <c r="C25" s="67" t="s">
        <v>79</v>
      </c>
      <c r="D25" s="378">
        <v>8189.8</v>
      </c>
      <c r="E25" s="378">
        <v>1688.5</v>
      </c>
      <c r="F25" s="378">
        <f>E25</f>
        <v>1688.5</v>
      </c>
      <c r="G25" s="378">
        <v>0</v>
      </c>
      <c r="H25" s="378">
        <f>F25-G25</f>
        <v>1688.5</v>
      </c>
      <c r="I25" s="378"/>
      <c r="J25" s="378"/>
      <c r="K25" s="378"/>
      <c r="L25" s="378"/>
      <c r="M25" s="379"/>
      <c r="N25" s="381">
        <f t="shared" si="5"/>
        <v>20.61710908691299</v>
      </c>
    </row>
    <row r="26" spans="1:14">
      <c r="A26" s="561" t="s">
        <v>32</v>
      </c>
      <c r="B26" s="562"/>
      <c r="C26" s="563"/>
      <c r="D26" s="377">
        <f>D22</f>
        <v>1658411.8</v>
      </c>
      <c r="E26" s="377">
        <f t="shared" ref="E26:M26" si="6">E22</f>
        <v>927063.08</v>
      </c>
      <c r="F26" s="377">
        <f t="shared" si="6"/>
        <v>927063.08</v>
      </c>
      <c r="G26" s="377">
        <f t="shared" si="6"/>
        <v>767683.48</v>
      </c>
      <c r="H26" s="377">
        <f t="shared" si="6"/>
        <v>156513.84999999992</v>
      </c>
      <c r="I26" s="377">
        <f t="shared" si="6"/>
        <v>0</v>
      </c>
      <c r="J26" s="377">
        <f t="shared" si="6"/>
        <v>2865.75</v>
      </c>
      <c r="K26" s="377">
        <f t="shared" si="6"/>
        <v>0</v>
      </c>
      <c r="L26" s="377">
        <f t="shared" si="6"/>
        <v>0</v>
      </c>
      <c r="M26" s="377">
        <f t="shared" si="6"/>
        <v>0</v>
      </c>
      <c r="N26" s="381">
        <f t="shared" si="5"/>
        <v>55.900656278494878</v>
      </c>
    </row>
    <row r="28" spans="1:14">
      <c r="A28" t="s">
        <v>195</v>
      </c>
    </row>
    <row r="29" spans="1:14">
      <c r="A29" s="485" t="s">
        <v>0</v>
      </c>
      <c r="B29" s="485" t="s">
        <v>8</v>
      </c>
      <c r="C29" s="485" t="s">
        <v>1</v>
      </c>
      <c r="D29" s="485" t="s">
        <v>176</v>
      </c>
      <c r="E29" s="485" t="s">
        <v>134</v>
      </c>
      <c r="F29" s="567" t="s">
        <v>163</v>
      </c>
      <c r="G29" s="568"/>
      <c r="H29" s="568"/>
      <c r="I29" s="568"/>
      <c r="J29" s="568"/>
      <c r="K29" s="568"/>
      <c r="L29" s="568"/>
      <c r="M29" s="568"/>
      <c r="N29" s="564" t="s">
        <v>131</v>
      </c>
    </row>
    <row r="30" spans="1:14">
      <c r="A30" s="486"/>
      <c r="B30" s="486"/>
      <c r="C30" s="486"/>
      <c r="D30" s="486"/>
      <c r="E30" s="486"/>
      <c r="F30" s="460" t="s">
        <v>9</v>
      </c>
      <c r="G30" s="87" t="s">
        <v>10</v>
      </c>
      <c r="H30" s="87"/>
      <c r="I30" s="87"/>
      <c r="J30" s="87"/>
      <c r="K30" s="87"/>
      <c r="L30" s="88"/>
      <c r="M30" s="565" t="s">
        <v>162</v>
      </c>
      <c r="N30" s="564"/>
    </row>
    <row r="31" spans="1:14" ht="63" customHeight="1">
      <c r="A31" s="487"/>
      <c r="B31" s="487"/>
      <c r="C31" s="487"/>
      <c r="D31" s="487"/>
      <c r="E31" s="487"/>
      <c r="F31" s="462"/>
      <c r="G31" s="157" t="s">
        <v>307</v>
      </c>
      <c r="H31" s="157" t="s">
        <v>311</v>
      </c>
      <c r="I31" s="157" t="s">
        <v>308</v>
      </c>
      <c r="J31" s="157" t="s">
        <v>309</v>
      </c>
      <c r="K31" s="346" t="s">
        <v>310</v>
      </c>
      <c r="L31" s="157" t="s">
        <v>11</v>
      </c>
      <c r="M31" s="566"/>
      <c r="N31" s="564"/>
    </row>
    <row r="32" spans="1:14">
      <c r="A32" s="149">
        <v>1</v>
      </c>
      <c r="B32" s="149">
        <v>2</v>
      </c>
      <c r="C32" s="149">
        <v>3</v>
      </c>
      <c r="D32" s="149">
        <v>4</v>
      </c>
      <c r="E32" s="149">
        <v>5</v>
      </c>
      <c r="F32" s="149">
        <v>6</v>
      </c>
      <c r="G32" s="149">
        <v>7</v>
      </c>
      <c r="H32" s="149">
        <v>8</v>
      </c>
      <c r="I32" s="149">
        <v>9</v>
      </c>
      <c r="J32" s="149">
        <v>10</v>
      </c>
      <c r="K32" s="149">
        <v>11</v>
      </c>
      <c r="L32" s="149">
        <v>12</v>
      </c>
      <c r="M32" s="149">
        <v>13</v>
      </c>
      <c r="N32" s="149">
        <v>14</v>
      </c>
    </row>
    <row r="33" spans="1:14">
      <c r="A33" s="59">
        <v>801</v>
      </c>
      <c r="B33" s="60"/>
      <c r="C33" s="355" t="s">
        <v>33</v>
      </c>
      <c r="D33" s="375">
        <f>SUM(D34:D37)</f>
        <v>1992182.2</v>
      </c>
      <c r="E33" s="375">
        <f t="shared" ref="E33:M33" si="7">SUM(E34:E37)</f>
        <v>1129207.8500000001</v>
      </c>
      <c r="F33" s="375">
        <f t="shared" si="7"/>
        <v>1129207.8500000001</v>
      </c>
      <c r="G33" s="375">
        <f t="shared" si="7"/>
        <v>802609.59</v>
      </c>
      <c r="H33" s="375">
        <f t="shared" si="7"/>
        <v>273586.95999999996</v>
      </c>
      <c r="I33" s="375">
        <f t="shared" si="7"/>
        <v>0</v>
      </c>
      <c r="J33" s="375">
        <f t="shared" si="7"/>
        <v>53011.3</v>
      </c>
      <c r="K33" s="375">
        <f t="shared" si="7"/>
        <v>0</v>
      </c>
      <c r="L33" s="375">
        <f t="shared" si="7"/>
        <v>0</v>
      </c>
      <c r="M33" s="375">
        <f t="shared" si="7"/>
        <v>0</v>
      </c>
      <c r="N33" s="381">
        <f>E33/D33*100</f>
        <v>56.681956600154351</v>
      </c>
    </row>
    <row r="34" spans="1:14">
      <c r="A34" s="62" t="s">
        <v>18</v>
      </c>
      <c r="B34" s="63">
        <v>80120</v>
      </c>
      <c r="C34" s="64" t="s">
        <v>70</v>
      </c>
      <c r="D34" s="378">
        <v>1143649</v>
      </c>
      <c r="E34" s="378">
        <v>634326.82999999996</v>
      </c>
      <c r="F34" s="378">
        <f>E34</f>
        <v>634326.82999999996</v>
      </c>
      <c r="G34" s="378">
        <f>346103.56+54829.35+66375.88+9929.7+8888.32</f>
        <v>486126.81</v>
      </c>
      <c r="H34" s="378">
        <f>F34-G34-J34</f>
        <v>114299.66999999995</v>
      </c>
      <c r="I34" s="378"/>
      <c r="J34" s="378">
        <v>33900.35</v>
      </c>
      <c r="K34" s="378">
        <v>0</v>
      </c>
      <c r="L34" s="378">
        <v>0</v>
      </c>
      <c r="M34" s="379">
        <v>0</v>
      </c>
      <c r="N34" s="381">
        <f t="shared" ref="N34:N40" si="8">E34/D34*100</f>
        <v>55.465167197278184</v>
      </c>
    </row>
    <row r="35" spans="1:14">
      <c r="A35" s="62" t="s">
        <v>18</v>
      </c>
      <c r="B35" s="62">
        <v>80130</v>
      </c>
      <c r="C35" s="64" t="s">
        <v>76</v>
      </c>
      <c r="D35" s="378">
        <v>640479</v>
      </c>
      <c r="E35" s="378">
        <v>350614.61</v>
      </c>
      <c r="F35" s="378">
        <f>E35</f>
        <v>350614.61</v>
      </c>
      <c r="G35" s="378">
        <f>196780.18+29109+37201.44+5626.51</f>
        <v>268717.13</v>
      </c>
      <c r="H35" s="378">
        <f>F35-G35-J35</f>
        <v>62786.529999999984</v>
      </c>
      <c r="I35" s="378"/>
      <c r="J35" s="378">
        <f>17562.95+1548</f>
        <v>19110.95</v>
      </c>
      <c r="K35" s="378"/>
      <c r="L35" s="378"/>
      <c r="M35" s="379"/>
      <c r="N35" s="381">
        <f t="shared" si="8"/>
        <v>54.742561426682215</v>
      </c>
    </row>
    <row r="36" spans="1:14">
      <c r="A36" s="569" t="s">
        <v>18</v>
      </c>
      <c r="B36" s="356">
        <v>80146</v>
      </c>
      <c r="C36" s="64" t="s">
        <v>111</v>
      </c>
      <c r="D36" s="378">
        <v>9948.2000000000007</v>
      </c>
      <c r="E36" s="378">
        <v>3125.66</v>
      </c>
      <c r="F36" s="378">
        <f>E36-M36</f>
        <v>3125.66</v>
      </c>
      <c r="G36" s="378">
        <v>0</v>
      </c>
      <c r="H36" s="378">
        <f>F36-G36-J36</f>
        <v>3125.66</v>
      </c>
      <c r="I36" s="378"/>
      <c r="J36" s="378">
        <v>0</v>
      </c>
      <c r="K36" s="378"/>
      <c r="L36" s="378"/>
      <c r="M36" s="379">
        <v>0</v>
      </c>
      <c r="N36" s="381">
        <f t="shared" si="8"/>
        <v>31.419352244627163</v>
      </c>
    </row>
    <row r="37" spans="1:14" ht="24">
      <c r="A37" s="570"/>
      <c r="B37" s="356">
        <v>80148</v>
      </c>
      <c r="C37" s="67" t="s">
        <v>78</v>
      </c>
      <c r="D37" s="378">
        <v>198106</v>
      </c>
      <c r="E37" s="378">
        <v>141140.75</v>
      </c>
      <c r="F37" s="378">
        <f>E37</f>
        <v>141140.75</v>
      </c>
      <c r="G37" s="378">
        <f>36175.84+4158+6482.27+949.54</f>
        <v>47765.65</v>
      </c>
      <c r="H37" s="378">
        <f>F37-G37</f>
        <v>93375.1</v>
      </c>
      <c r="I37" s="378"/>
      <c r="J37" s="378">
        <v>0</v>
      </c>
      <c r="K37" s="378"/>
      <c r="L37" s="378"/>
      <c r="M37" s="379"/>
      <c r="N37" s="381">
        <f t="shared" si="8"/>
        <v>71.245065772869069</v>
      </c>
    </row>
    <row r="38" spans="1:14" ht="24">
      <c r="A38" s="71">
        <v>854</v>
      </c>
      <c r="B38" s="60"/>
      <c r="C38" s="65" t="s">
        <v>37</v>
      </c>
      <c r="D38" s="376">
        <f>D39</f>
        <v>322215</v>
      </c>
      <c r="E38" s="376">
        <f t="shared" ref="E38:M38" si="9">E39</f>
        <v>167657.85999999999</v>
      </c>
      <c r="F38" s="376">
        <f t="shared" si="9"/>
        <v>167657.85999999999</v>
      </c>
      <c r="G38" s="376">
        <f t="shared" si="9"/>
        <v>115897.07999999999</v>
      </c>
      <c r="H38" s="376">
        <f t="shared" si="9"/>
        <v>45387.18</v>
      </c>
      <c r="I38" s="376">
        <f t="shared" si="9"/>
        <v>0</v>
      </c>
      <c r="J38" s="376">
        <f t="shared" si="9"/>
        <v>6373.6</v>
      </c>
      <c r="K38" s="376">
        <f t="shared" si="9"/>
        <v>0</v>
      </c>
      <c r="L38" s="376">
        <f t="shared" si="9"/>
        <v>0</v>
      </c>
      <c r="M38" s="376">
        <f t="shared" si="9"/>
        <v>0</v>
      </c>
      <c r="N38" s="381">
        <f t="shared" si="8"/>
        <v>52.032915910184187</v>
      </c>
    </row>
    <row r="39" spans="1:14">
      <c r="A39" s="77" t="s">
        <v>18</v>
      </c>
      <c r="B39" s="356">
        <v>85410</v>
      </c>
      <c r="C39" s="67" t="s">
        <v>82</v>
      </c>
      <c r="D39" s="378">
        <v>322215</v>
      </c>
      <c r="E39" s="378">
        <v>167657.85999999999</v>
      </c>
      <c r="F39" s="378">
        <f>E39</f>
        <v>167657.85999999999</v>
      </c>
      <c r="G39" s="378">
        <f>82174.51+14555+16574.28+2593.29</f>
        <v>115897.07999999999</v>
      </c>
      <c r="H39" s="378">
        <f>F39-G39-J39</f>
        <v>45387.18</v>
      </c>
      <c r="I39" s="378"/>
      <c r="J39" s="378">
        <v>6373.6</v>
      </c>
      <c r="K39" s="378"/>
      <c r="L39" s="378"/>
      <c r="M39" s="379"/>
      <c r="N39" s="381">
        <f t="shared" si="8"/>
        <v>52.032915910184187</v>
      </c>
    </row>
    <row r="40" spans="1:14">
      <c r="A40" s="561" t="s">
        <v>32</v>
      </c>
      <c r="B40" s="562"/>
      <c r="C40" s="563"/>
      <c r="D40" s="377">
        <f>D33+D38</f>
        <v>2314397.2000000002</v>
      </c>
      <c r="E40" s="377">
        <f t="shared" ref="E40:M40" si="10">E33+E38</f>
        <v>1296865.71</v>
      </c>
      <c r="F40" s="377">
        <f t="shared" si="10"/>
        <v>1296865.71</v>
      </c>
      <c r="G40" s="377">
        <f t="shared" si="10"/>
        <v>918506.66999999993</v>
      </c>
      <c r="H40" s="377">
        <f t="shared" si="10"/>
        <v>318974.13999999996</v>
      </c>
      <c r="I40" s="377">
        <f t="shared" si="10"/>
        <v>0</v>
      </c>
      <c r="J40" s="377">
        <f t="shared" si="10"/>
        <v>59384.9</v>
      </c>
      <c r="K40" s="377">
        <f t="shared" si="10"/>
        <v>0</v>
      </c>
      <c r="L40" s="377">
        <f t="shared" si="10"/>
        <v>0</v>
      </c>
      <c r="M40" s="377">
        <f t="shared" si="10"/>
        <v>0</v>
      </c>
      <c r="N40" s="381">
        <f t="shared" si="8"/>
        <v>56.034707871233159</v>
      </c>
    </row>
    <row r="42" spans="1:14">
      <c r="A42" t="s">
        <v>352</v>
      </c>
    </row>
    <row r="43" spans="1:14">
      <c r="A43" s="485" t="s">
        <v>0</v>
      </c>
      <c r="B43" s="485" t="s">
        <v>8</v>
      </c>
      <c r="C43" s="485" t="s">
        <v>1</v>
      </c>
      <c r="D43" s="485" t="s">
        <v>176</v>
      </c>
      <c r="E43" s="485" t="s">
        <v>134</v>
      </c>
      <c r="F43" s="567" t="s">
        <v>163</v>
      </c>
      <c r="G43" s="568"/>
      <c r="H43" s="568"/>
      <c r="I43" s="568"/>
      <c r="J43" s="568"/>
      <c r="K43" s="568"/>
      <c r="L43" s="568"/>
      <c r="M43" s="568"/>
      <c r="N43" s="564" t="s">
        <v>131</v>
      </c>
    </row>
    <row r="44" spans="1:14">
      <c r="A44" s="486"/>
      <c r="B44" s="486"/>
      <c r="C44" s="486"/>
      <c r="D44" s="486"/>
      <c r="E44" s="486"/>
      <c r="F44" s="460" t="s">
        <v>9</v>
      </c>
      <c r="G44" s="87" t="s">
        <v>10</v>
      </c>
      <c r="H44" s="87"/>
      <c r="I44" s="87"/>
      <c r="J44" s="87"/>
      <c r="K44" s="87"/>
      <c r="L44" s="88"/>
      <c r="M44" s="565" t="s">
        <v>162</v>
      </c>
      <c r="N44" s="564"/>
    </row>
    <row r="45" spans="1:14" ht="90.75">
      <c r="A45" s="487"/>
      <c r="B45" s="487"/>
      <c r="C45" s="487"/>
      <c r="D45" s="487"/>
      <c r="E45" s="487"/>
      <c r="F45" s="462"/>
      <c r="G45" s="157" t="s">
        <v>307</v>
      </c>
      <c r="H45" s="157" t="s">
        <v>311</v>
      </c>
      <c r="I45" s="157" t="s">
        <v>308</v>
      </c>
      <c r="J45" s="157" t="s">
        <v>309</v>
      </c>
      <c r="K45" s="346" t="s">
        <v>310</v>
      </c>
      <c r="L45" s="157" t="s">
        <v>11</v>
      </c>
      <c r="M45" s="566"/>
      <c r="N45" s="564"/>
    </row>
    <row r="46" spans="1:14">
      <c r="A46" s="149">
        <v>1</v>
      </c>
      <c r="B46" s="149">
        <v>2</v>
      </c>
      <c r="C46" s="149">
        <v>3</v>
      </c>
      <c r="D46" s="149">
        <v>4</v>
      </c>
      <c r="E46" s="149">
        <v>5</v>
      </c>
      <c r="F46" s="149">
        <v>6</v>
      </c>
      <c r="G46" s="149">
        <v>7</v>
      </c>
      <c r="H46" s="149">
        <v>8</v>
      </c>
      <c r="I46" s="149">
        <v>9</v>
      </c>
      <c r="J46" s="149">
        <v>10</v>
      </c>
      <c r="K46" s="149">
        <v>11</v>
      </c>
      <c r="L46" s="149">
        <v>12</v>
      </c>
      <c r="M46" s="149">
        <v>13</v>
      </c>
      <c r="N46" s="149">
        <v>14</v>
      </c>
    </row>
    <row r="47" spans="1:14">
      <c r="A47" s="59">
        <v>801</v>
      </c>
      <c r="B47" s="60"/>
      <c r="C47" s="355" t="s">
        <v>33</v>
      </c>
      <c r="D47" s="375">
        <f>D48</f>
        <v>393214</v>
      </c>
      <c r="E47" s="375">
        <f t="shared" ref="E47" si="11">E48</f>
        <v>210171.23</v>
      </c>
      <c r="F47" s="375">
        <f t="shared" ref="F47" si="12">F48</f>
        <v>210171.23</v>
      </c>
      <c r="G47" s="375">
        <f t="shared" ref="G47" si="13">G48</f>
        <v>179781.63000000003</v>
      </c>
      <c r="H47" s="375">
        <f t="shared" ref="H47" si="14">H48</f>
        <v>16339.999999999976</v>
      </c>
      <c r="I47" s="375">
        <f t="shared" ref="I47" si="15">I48</f>
        <v>0</v>
      </c>
      <c r="J47" s="375">
        <f t="shared" ref="J47" si="16">J48</f>
        <v>14049.6</v>
      </c>
      <c r="K47" s="375">
        <f t="shared" ref="K47" si="17">K48</f>
        <v>0</v>
      </c>
      <c r="L47" s="375">
        <f t="shared" ref="L47" si="18">L48</f>
        <v>0</v>
      </c>
      <c r="M47" s="375">
        <f t="shared" ref="M47" si="19">M48</f>
        <v>0</v>
      </c>
      <c r="N47" s="381">
        <f>E47/D47*100</f>
        <v>53.449579618223154</v>
      </c>
    </row>
    <row r="48" spans="1:14">
      <c r="A48" s="62" t="s">
        <v>18</v>
      </c>
      <c r="B48" s="63">
        <v>80111</v>
      </c>
      <c r="C48" s="64" t="s">
        <v>70</v>
      </c>
      <c r="D48" s="378">
        <v>393214</v>
      </c>
      <c r="E48" s="378">
        <v>210171.23</v>
      </c>
      <c r="F48" s="378">
        <f>E48</f>
        <v>210171.23</v>
      </c>
      <c r="G48" s="378">
        <f>133396.62+20331.45+22548.33+3505.23</f>
        <v>179781.63000000003</v>
      </c>
      <c r="H48" s="378">
        <f>F48-G48-J48</f>
        <v>16339.999999999976</v>
      </c>
      <c r="I48" s="378"/>
      <c r="J48" s="378">
        <v>14049.6</v>
      </c>
      <c r="K48" s="378">
        <v>0</v>
      </c>
      <c r="L48" s="378">
        <v>0</v>
      </c>
      <c r="M48" s="379">
        <v>0</v>
      </c>
      <c r="N48" s="381">
        <f t="shared" ref="N48:N52" si="20">E48/D48*100</f>
        <v>53.449579618223154</v>
      </c>
    </row>
    <row r="49" spans="1:14" ht="24">
      <c r="A49" s="71">
        <v>854</v>
      </c>
      <c r="B49" s="60"/>
      <c r="C49" s="65" t="s">
        <v>37</v>
      </c>
      <c r="D49" s="376">
        <f>D50+D51</f>
        <v>1291982.5</v>
      </c>
      <c r="E49" s="376">
        <f t="shared" ref="E49" si="21">E50+E51</f>
        <v>685588.05</v>
      </c>
      <c r="F49" s="376">
        <f t="shared" ref="F49" si="22">F50+F51</f>
        <v>685588.05</v>
      </c>
      <c r="G49" s="376">
        <f t="shared" ref="G49" si="23">G50+G51</f>
        <v>465408.86</v>
      </c>
      <c r="H49" s="376">
        <f t="shared" ref="H49" si="24">H50+H51</f>
        <v>193796.31000000006</v>
      </c>
      <c r="I49" s="376">
        <f t="shared" ref="I49" si="25">I50+I51</f>
        <v>0</v>
      </c>
      <c r="J49" s="376">
        <f t="shared" ref="J49" si="26">J50+J51</f>
        <v>26382.880000000001</v>
      </c>
      <c r="K49" s="376">
        <f t="shared" ref="K49" si="27">K50+K51</f>
        <v>0</v>
      </c>
      <c r="L49" s="376">
        <f t="shared" ref="L49" si="28">L50+L51</f>
        <v>0</v>
      </c>
      <c r="M49" s="376">
        <f t="shared" ref="M49" si="29">M50+M51</f>
        <v>0</v>
      </c>
      <c r="N49" s="381">
        <f t="shared" si="20"/>
        <v>53.064809314367658</v>
      </c>
    </row>
    <row r="50" spans="1:14">
      <c r="A50" s="569" t="s">
        <v>18</v>
      </c>
      <c r="B50" s="356">
        <v>85420</v>
      </c>
      <c r="C50" s="67" t="s">
        <v>82</v>
      </c>
      <c r="D50" s="378">
        <v>1285043</v>
      </c>
      <c r="E50" s="378">
        <v>684588.05</v>
      </c>
      <c r="F50" s="378">
        <f>E50</f>
        <v>684588.05</v>
      </c>
      <c r="G50" s="378">
        <f>340044.67+54462.19+61931.07+8970.93</f>
        <v>465408.86</v>
      </c>
      <c r="H50" s="378">
        <f>F50-G50-J50</f>
        <v>192796.31000000006</v>
      </c>
      <c r="I50" s="378"/>
      <c r="J50" s="378">
        <v>26382.880000000001</v>
      </c>
      <c r="K50" s="378"/>
      <c r="L50" s="378"/>
      <c r="M50" s="379"/>
      <c r="N50" s="381">
        <f t="shared" si="20"/>
        <v>53.273551935616169</v>
      </c>
    </row>
    <row r="51" spans="1:14">
      <c r="A51" s="571"/>
      <c r="B51" s="356">
        <v>85446</v>
      </c>
      <c r="C51" s="67" t="s">
        <v>84</v>
      </c>
      <c r="D51" s="378">
        <v>6939.5</v>
      </c>
      <c r="E51" s="378">
        <v>1000</v>
      </c>
      <c r="F51" s="378">
        <f>E51</f>
        <v>1000</v>
      </c>
      <c r="G51" s="380">
        <v>0</v>
      </c>
      <c r="H51" s="378">
        <f>F51-G51-J51</f>
        <v>1000</v>
      </c>
      <c r="I51" s="378"/>
      <c r="J51" s="378">
        <v>0</v>
      </c>
      <c r="K51" s="378"/>
      <c r="L51" s="378"/>
      <c r="M51" s="379"/>
      <c r="N51" s="381">
        <f t="shared" si="20"/>
        <v>14.410260105194899</v>
      </c>
    </row>
    <row r="52" spans="1:14">
      <c r="A52" s="561" t="s">
        <v>32</v>
      </c>
      <c r="B52" s="562"/>
      <c r="C52" s="563"/>
      <c r="D52" s="377">
        <f>D47+D49</f>
        <v>1685196.5</v>
      </c>
      <c r="E52" s="377">
        <f t="shared" ref="E52:M52" si="30">E47+E49</f>
        <v>895759.28</v>
      </c>
      <c r="F52" s="377">
        <f t="shared" si="30"/>
        <v>895759.28</v>
      </c>
      <c r="G52" s="377">
        <f t="shared" si="30"/>
        <v>645190.49</v>
      </c>
      <c r="H52" s="377">
        <f t="shared" si="30"/>
        <v>210136.31000000003</v>
      </c>
      <c r="I52" s="377">
        <f t="shared" si="30"/>
        <v>0</v>
      </c>
      <c r="J52" s="377">
        <f t="shared" si="30"/>
        <v>40432.480000000003</v>
      </c>
      <c r="K52" s="377">
        <f t="shared" si="30"/>
        <v>0</v>
      </c>
      <c r="L52" s="377">
        <f t="shared" si="30"/>
        <v>0</v>
      </c>
      <c r="M52" s="377">
        <f t="shared" si="30"/>
        <v>0</v>
      </c>
      <c r="N52" s="381">
        <f t="shared" si="20"/>
        <v>53.154589390614092</v>
      </c>
    </row>
    <row r="54" spans="1:14">
      <c r="A54" t="s">
        <v>196</v>
      </c>
    </row>
    <row r="55" spans="1:14">
      <c r="A55" s="485" t="s">
        <v>0</v>
      </c>
      <c r="B55" s="485" t="s">
        <v>8</v>
      </c>
      <c r="C55" s="485" t="s">
        <v>1</v>
      </c>
      <c r="D55" s="485" t="s">
        <v>176</v>
      </c>
      <c r="E55" s="485" t="s">
        <v>134</v>
      </c>
      <c r="F55" s="567" t="s">
        <v>163</v>
      </c>
      <c r="G55" s="568"/>
      <c r="H55" s="568"/>
      <c r="I55" s="568"/>
      <c r="J55" s="568"/>
      <c r="K55" s="568"/>
      <c r="L55" s="568"/>
      <c r="M55" s="568"/>
      <c r="N55" s="564" t="s">
        <v>131</v>
      </c>
    </row>
    <row r="56" spans="1:14">
      <c r="A56" s="486"/>
      <c r="B56" s="486"/>
      <c r="C56" s="486"/>
      <c r="D56" s="486"/>
      <c r="E56" s="486"/>
      <c r="F56" s="460" t="s">
        <v>9</v>
      </c>
      <c r="G56" s="87" t="s">
        <v>10</v>
      </c>
      <c r="H56" s="87"/>
      <c r="I56" s="87"/>
      <c r="J56" s="87"/>
      <c r="K56" s="87"/>
      <c r="L56" s="88"/>
      <c r="M56" s="565" t="s">
        <v>162</v>
      </c>
      <c r="N56" s="564"/>
    </row>
    <row r="57" spans="1:14" ht="90.75">
      <c r="A57" s="487"/>
      <c r="B57" s="487"/>
      <c r="C57" s="487"/>
      <c r="D57" s="487"/>
      <c r="E57" s="487"/>
      <c r="F57" s="462"/>
      <c r="G57" s="157" t="s">
        <v>307</v>
      </c>
      <c r="H57" s="157" t="s">
        <v>311</v>
      </c>
      <c r="I57" s="157" t="s">
        <v>308</v>
      </c>
      <c r="J57" s="157" t="s">
        <v>309</v>
      </c>
      <c r="K57" s="346" t="s">
        <v>310</v>
      </c>
      <c r="L57" s="157" t="s">
        <v>11</v>
      </c>
      <c r="M57" s="566"/>
      <c r="N57" s="564"/>
    </row>
    <row r="58" spans="1:14">
      <c r="A58" s="149">
        <v>1</v>
      </c>
      <c r="B58" s="149">
        <v>2</v>
      </c>
      <c r="C58" s="149">
        <v>3</v>
      </c>
      <c r="D58" s="149">
        <v>4</v>
      </c>
      <c r="E58" s="149">
        <v>5</v>
      </c>
      <c r="F58" s="149">
        <v>6</v>
      </c>
      <c r="G58" s="149">
        <v>7</v>
      </c>
      <c r="H58" s="149">
        <v>8</v>
      </c>
      <c r="I58" s="149">
        <v>9</v>
      </c>
      <c r="J58" s="149">
        <v>10</v>
      </c>
      <c r="K58" s="149">
        <v>11</v>
      </c>
      <c r="L58" s="149">
        <v>12</v>
      </c>
      <c r="M58" s="149">
        <v>13</v>
      </c>
      <c r="N58" s="149">
        <v>14</v>
      </c>
    </row>
    <row r="59" spans="1:14">
      <c r="A59" s="59">
        <v>801</v>
      </c>
      <c r="B59" s="60"/>
      <c r="C59" s="355" t="s">
        <v>33</v>
      </c>
      <c r="D59" s="375">
        <f>D60+D61+D62</f>
        <v>676186.5</v>
      </c>
      <c r="E59" s="375">
        <f t="shared" ref="E59" si="31">E60+E61+E62</f>
        <v>357800.58999999997</v>
      </c>
      <c r="F59" s="375">
        <f t="shared" ref="F59" si="32">F60+F61+F62</f>
        <v>357800.58999999997</v>
      </c>
      <c r="G59" s="375">
        <f t="shared" ref="G59" si="33">G60+G61+G62</f>
        <v>268185.65999999997</v>
      </c>
      <c r="H59" s="375">
        <f t="shared" ref="H59" si="34">H60+H61+H62</f>
        <v>89568.27</v>
      </c>
      <c r="I59" s="375">
        <f t="shared" ref="I59" si="35">I60+I61+I62</f>
        <v>0</v>
      </c>
      <c r="J59" s="375">
        <f t="shared" ref="J59" si="36">J60+J61+J62</f>
        <v>46.66</v>
      </c>
      <c r="K59" s="375">
        <f t="shared" ref="K59" si="37">K60+K61+K62</f>
        <v>0</v>
      </c>
      <c r="L59" s="375">
        <f t="shared" ref="L59" si="38">L60+L61+L62</f>
        <v>0</v>
      </c>
      <c r="M59" s="375">
        <f t="shared" ref="M59" si="39">M60+M61+M62</f>
        <v>0</v>
      </c>
      <c r="N59" s="381">
        <f>E59/D59*100</f>
        <v>52.914482912628394</v>
      </c>
    </row>
    <row r="60" spans="1:14">
      <c r="A60" s="62" t="s">
        <v>18</v>
      </c>
      <c r="B60" s="63">
        <v>80120</v>
      </c>
      <c r="C60" s="64" t="s">
        <v>70</v>
      </c>
      <c r="D60" s="342">
        <v>387937</v>
      </c>
      <c r="E60" s="342">
        <v>198263.27</v>
      </c>
      <c r="F60" s="342">
        <f>E60</f>
        <v>198263.27</v>
      </c>
      <c r="G60" s="344">
        <f>114596.37+18286.79+17372.56+2600.28+390.16</f>
        <v>153246.16</v>
      </c>
      <c r="H60" s="342">
        <f>F60-G60-J60</f>
        <v>44990.449999999983</v>
      </c>
      <c r="I60" s="342"/>
      <c r="J60" s="342">
        <v>26.66</v>
      </c>
      <c r="K60" s="342"/>
      <c r="L60" s="342">
        <v>0</v>
      </c>
      <c r="M60" s="342">
        <v>0</v>
      </c>
      <c r="N60" s="381">
        <f t="shared" ref="N60:N63" si="40">E60/D60*100</f>
        <v>51.107079242248098</v>
      </c>
    </row>
    <row r="61" spans="1:14">
      <c r="A61" s="62" t="s">
        <v>18</v>
      </c>
      <c r="B61" s="62">
        <v>80130</v>
      </c>
      <c r="C61" s="64" t="s">
        <v>76</v>
      </c>
      <c r="D61" s="378">
        <v>285273</v>
      </c>
      <c r="E61" s="378">
        <v>157933.66</v>
      </c>
      <c r="F61" s="378">
        <f>E61</f>
        <v>157933.66</v>
      </c>
      <c r="G61" s="378">
        <f>85952.2+13715.09+13029.4+1950.19+292.62</f>
        <v>114939.49999999999</v>
      </c>
      <c r="H61" s="378">
        <f>F61-G61-J61</f>
        <v>42974.160000000018</v>
      </c>
      <c r="I61" s="378"/>
      <c r="J61" s="378">
        <v>20</v>
      </c>
      <c r="K61" s="378"/>
      <c r="L61" s="378"/>
      <c r="M61" s="379"/>
      <c r="N61" s="381">
        <f t="shared" si="40"/>
        <v>55.362288053899242</v>
      </c>
    </row>
    <row r="62" spans="1:14">
      <c r="A62" s="79"/>
      <c r="B62" s="356">
        <v>80146</v>
      </c>
      <c r="C62" s="67" t="s">
        <v>79</v>
      </c>
      <c r="D62" s="378">
        <v>2976.5</v>
      </c>
      <c r="E62" s="378">
        <v>1603.66</v>
      </c>
      <c r="F62" s="378">
        <f>E62</f>
        <v>1603.66</v>
      </c>
      <c r="G62" s="378">
        <v>0</v>
      </c>
      <c r="H62" s="378">
        <f>F62-G62</f>
        <v>1603.66</v>
      </c>
      <c r="I62" s="378"/>
      <c r="J62" s="378"/>
      <c r="K62" s="378"/>
      <c r="L62" s="378"/>
      <c r="M62" s="379"/>
      <c r="N62" s="381">
        <f t="shared" si="40"/>
        <v>53.877372753233665</v>
      </c>
    </row>
    <row r="63" spans="1:14">
      <c r="A63" s="561" t="s">
        <v>32</v>
      </c>
      <c r="B63" s="562"/>
      <c r="C63" s="563"/>
      <c r="D63" s="377">
        <f>D59</f>
        <v>676186.5</v>
      </c>
      <c r="E63" s="377">
        <f t="shared" ref="E63:M63" si="41">E59</f>
        <v>357800.58999999997</v>
      </c>
      <c r="F63" s="377">
        <f t="shared" si="41"/>
        <v>357800.58999999997</v>
      </c>
      <c r="G63" s="377">
        <f t="shared" si="41"/>
        <v>268185.65999999997</v>
      </c>
      <c r="H63" s="377">
        <f t="shared" si="41"/>
        <v>89568.27</v>
      </c>
      <c r="I63" s="377">
        <f t="shared" si="41"/>
        <v>0</v>
      </c>
      <c r="J63" s="377">
        <f t="shared" si="41"/>
        <v>46.66</v>
      </c>
      <c r="K63" s="377">
        <f t="shared" si="41"/>
        <v>0</v>
      </c>
      <c r="L63" s="377">
        <f t="shared" si="41"/>
        <v>0</v>
      </c>
      <c r="M63" s="377">
        <f t="shared" si="41"/>
        <v>0</v>
      </c>
      <c r="N63" s="381">
        <f t="shared" si="40"/>
        <v>52.914482912628394</v>
      </c>
    </row>
    <row r="66" spans="1:14">
      <c r="A66" t="s">
        <v>353</v>
      </c>
    </row>
    <row r="67" spans="1:14">
      <c r="A67" s="485" t="s">
        <v>0</v>
      </c>
      <c r="B67" s="485" t="s">
        <v>8</v>
      </c>
      <c r="C67" s="485" t="s">
        <v>1</v>
      </c>
      <c r="D67" s="485" t="s">
        <v>176</v>
      </c>
      <c r="E67" s="485" t="s">
        <v>134</v>
      </c>
      <c r="F67" s="567" t="s">
        <v>163</v>
      </c>
      <c r="G67" s="568"/>
      <c r="H67" s="568"/>
      <c r="I67" s="568"/>
      <c r="J67" s="568"/>
      <c r="K67" s="568"/>
      <c r="L67" s="568"/>
      <c r="M67" s="568"/>
      <c r="N67" s="564" t="s">
        <v>131</v>
      </c>
    </row>
    <row r="68" spans="1:14">
      <c r="A68" s="486"/>
      <c r="B68" s="486"/>
      <c r="C68" s="486"/>
      <c r="D68" s="486"/>
      <c r="E68" s="486"/>
      <c r="F68" s="460" t="s">
        <v>9</v>
      </c>
      <c r="G68" s="87" t="s">
        <v>10</v>
      </c>
      <c r="H68" s="87"/>
      <c r="I68" s="87"/>
      <c r="J68" s="87"/>
      <c r="K68" s="87"/>
      <c r="L68" s="88"/>
      <c r="M68" s="565" t="s">
        <v>162</v>
      </c>
      <c r="N68" s="564"/>
    </row>
    <row r="69" spans="1:14" ht="90.75">
      <c r="A69" s="487"/>
      <c r="B69" s="487"/>
      <c r="C69" s="487"/>
      <c r="D69" s="487"/>
      <c r="E69" s="487"/>
      <c r="F69" s="462"/>
      <c r="G69" s="157" t="s">
        <v>307</v>
      </c>
      <c r="H69" s="157" t="s">
        <v>311</v>
      </c>
      <c r="I69" s="157" t="s">
        <v>308</v>
      </c>
      <c r="J69" s="157" t="s">
        <v>309</v>
      </c>
      <c r="K69" s="346" t="s">
        <v>310</v>
      </c>
      <c r="L69" s="157" t="s">
        <v>11</v>
      </c>
      <c r="M69" s="566"/>
      <c r="N69" s="564"/>
    </row>
    <row r="70" spans="1:14">
      <c r="A70" s="149">
        <v>1</v>
      </c>
      <c r="B70" s="149">
        <v>2</v>
      </c>
      <c r="C70" s="149">
        <v>3</v>
      </c>
      <c r="D70" s="149">
        <v>4</v>
      </c>
      <c r="E70" s="149">
        <v>5</v>
      </c>
      <c r="F70" s="149">
        <v>6</v>
      </c>
      <c r="G70" s="149">
        <v>7</v>
      </c>
      <c r="H70" s="149">
        <v>8</v>
      </c>
      <c r="I70" s="149">
        <v>9</v>
      </c>
      <c r="J70" s="149">
        <v>10</v>
      </c>
      <c r="K70" s="149">
        <v>11</v>
      </c>
      <c r="L70" s="149">
        <v>12</v>
      </c>
      <c r="M70" s="149">
        <v>13</v>
      </c>
      <c r="N70" s="149">
        <v>14</v>
      </c>
    </row>
    <row r="71" spans="1:14">
      <c r="A71" s="59">
        <v>801</v>
      </c>
      <c r="B71" s="60"/>
      <c r="C71" s="355" t="s">
        <v>33</v>
      </c>
      <c r="D71" s="375">
        <f>D72+D73</f>
        <v>2428483.39</v>
      </c>
      <c r="E71" s="375">
        <f t="shared" ref="E71:M71" si="42">E72+E73</f>
        <v>1328284.8500000001</v>
      </c>
      <c r="F71" s="375">
        <f t="shared" si="42"/>
        <v>1328284.8500000001</v>
      </c>
      <c r="G71" s="375">
        <f t="shared" si="42"/>
        <v>987672.3</v>
      </c>
      <c r="H71" s="375">
        <f t="shared" si="42"/>
        <v>333454.14999999991</v>
      </c>
      <c r="I71" s="375">
        <f t="shared" si="42"/>
        <v>0</v>
      </c>
      <c r="J71" s="375">
        <f t="shared" si="42"/>
        <v>7158.4</v>
      </c>
      <c r="K71" s="375">
        <f t="shared" si="42"/>
        <v>0</v>
      </c>
      <c r="L71" s="375">
        <f t="shared" si="42"/>
        <v>0</v>
      </c>
      <c r="M71" s="375">
        <f t="shared" si="42"/>
        <v>0</v>
      </c>
      <c r="N71" s="381">
        <f>E71/D71*100</f>
        <v>54.696064855522849</v>
      </c>
    </row>
    <row r="72" spans="1:14">
      <c r="A72" s="62" t="s">
        <v>18</v>
      </c>
      <c r="B72" s="63">
        <v>80120</v>
      </c>
      <c r="C72" s="64" t="s">
        <v>70</v>
      </c>
      <c r="D72" s="342">
        <v>2416642.39</v>
      </c>
      <c r="E72" s="342">
        <v>1322328.48</v>
      </c>
      <c r="F72" s="342">
        <f>E72</f>
        <v>1322328.48</v>
      </c>
      <c r="G72" s="344">
        <f>725261.49+118468.07+119953.35+17390.99+6598.4</f>
        <v>987672.3</v>
      </c>
      <c r="H72" s="342">
        <f>F72-G72-J72</f>
        <v>327497.77999999991</v>
      </c>
      <c r="I72" s="342"/>
      <c r="J72" s="342">
        <v>7158.4</v>
      </c>
      <c r="K72" s="342"/>
      <c r="L72" s="342">
        <v>0</v>
      </c>
      <c r="M72" s="342">
        <v>0</v>
      </c>
      <c r="N72" s="381">
        <f t="shared" ref="N72:N74" si="43">E72/D72*100</f>
        <v>54.717590218220082</v>
      </c>
    </row>
    <row r="73" spans="1:14">
      <c r="A73" s="79"/>
      <c r="B73" s="356">
        <v>80146</v>
      </c>
      <c r="C73" s="67" t="s">
        <v>79</v>
      </c>
      <c r="D73" s="378">
        <v>11841</v>
      </c>
      <c r="E73" s="378">
        <v>5956.37</v>
      </c>
      <c r="F73" s="378">
        <f>E73</f>
        <v>5956.37</v>
      </c>
      <c r="G73" s="378">
        <v>0</v>
      </c>
      <c r="H73" s="378">
        <f>F73-G73</f>
        <v>5956.37</v>
      </c>
      <c r="I73" s="378"/>
      <c r="J73" s="378"/>
      <c r="K73" s="378"/>
      <c r="L73" s="378"/>
      <c r="M73" s="379"/>
      <c r="N73" s="381">
        <f t="shared" si="43"/>
        <v>50.302930495735154</v>
      </c>
    </row>
    <row r="74" spans="1:14">
      <c r="A74" s="561" t="s">
        <v>32</v>
      </c>
      <c r="B74" s="562"/>
      <c r="C74" s="563"/>
      <c r="D74" s="377">
        <f>D71</f>
        <v>2428483.39</v>
      </c>
      <c r="E74" s="377">
        <f t="shared" ref="E74:M74" si="44">E71</f>
        <v>1328284.8500000001</v>
      </c>
      <c r="F74" s="377">
        <f t="shared" si="44"/>
        <v>1328284.8500000001</v>
      </c>
      <c r="G74" s="377">
        <f t="shared" si="44"/>
        <v>987672.3</v>
      </c>
      <c r="H74" s="377">
        <f t="shared" si="44"/>
        <v>333454.14999999991</v>
      </c>
      <c r="I74" s="377">
        <f t="shared" si="44"/>
        <v>0</v>
      </c>
      <c r="J74" s="377">
        <f t="shared" si="44"/>
        <v>7158.4</v>
      </c>
      <c r="K74" s="377">
        <f t="shared" si="44"/>
        <v>0</v>
      </c>
      <c r="L74" s="377">
        <f t="shared" si="44"/>
        <v>0</v>
      </c>
      <c r="M74" s="377">
        <f t="shared" si="44"/>
        <v>0</v>
      </c>
      <c r="N74" s="381">
        <f t="shared" si="43"/>
        <v>54.696064855522849</v>
      </c>
    </row>
  </sheetData>
  <mergeCells count="63">
    <mergeCell ref="F67:M67"/>
    <mergeCell ref="N67:N69"/>
    <mergeCell ref="F68:F69"/>
    <mergeCell ref="M68:M69"/>
    <mergeCell ref="A74:C74"/>
    <mergeCell ref="E67:E69"/>
    <mergeCell ref="A63:C63"/>
    <mergeCell ref="A67:A69"/>
    <mergeCell ref="B67:B69"/>
    <mergeCell ref="C67:C69"/>
    <mergeCell ref="D67:D69"/>
    <mergeCell ref="D55:D57"/>
    <mergeCell ref="E55:E57"/>
    <mergeCell ref="F55:M55"/>
    <mergeCell ref="N55:N57"/>
    <mergeCell ref="F56:F57"/>
    <mergeCell ref="M56:M57"/>
    <mergeCell ref="A50:A51"/>
    <mergeCell ref="A52:C52"/>
    <mergeCell ref="A55:A57"/>
    <mergeCell ref="B55:B57"/>
    <mergeCell ref="C55:C57"/>
    <mergeCell ref="E43:E45"/>
    <mergeCell ref="F43:M43"/>
    <mergeCell ref="N43:N45"/>
    <mergeCell ref="F44:F45"/>
    <mergeCell ref="M44:M45"/>
    <mergeCell ref="A40:C40"/>
    <mergeCell ref="A43:A45"/>
    <mergeCell ref="B43:B45"/>
    <mergeCell ref="C43:C45"/>
    <mergeCell ref="D43:D45"/>
    <mergeCell ref="F29:M29"/>
    <mergeCell ref="N29:N31"/>
    <mergeCell ref="F30:F31"/>
    <mergeCell ref="M30:M31"/>
    <mergeCell ref="A36:A37"/>
    <mergeCell ref="A26:C26"/>
    <mergeCell ref="A29:A31"/>
    <mergeCell ref="B29:B31"/>
    <mergeCell ref="C29:C31"/>
    <mergeCell ref="E18:E20"/>
    <mergeCell ref="D29:D31"/>
    <mergeCell ref="E29:E31"/>
    <mergeCell ref="F18:M18"/>
    <mergeCell ref="N18:N20"/>
    <mergeCell ref="F19:F20"/>
    <mergeCell ref="M19:M20"/>
    <mergeCell ref="A14:C14"/>
    <mergeCell ref="A18:A20"/>
    <mergeCell ref="B18:B20"/>
    <mergeCell ref="C18:C20"/>
    <mergeCell ref="D18:D20"/>
    <mergeCell ref="N2:N4"/>
    <mergeCell ref="F3:F4"/>
    <mergeCell ref="M3:M4"/>
    <mergeCell ref="A9:A11"/>
    <mergeCell ref="A2:A4"/>
    <mergeCell ref="B2:B4"/>
    <mergeCell ref="C2:C4"/>
    <mergeCell ref="D2:D4"/>
    <mergeCell ref="E2:E4"/>
    <mergeCell ref="F2:M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Zakresy nazwane</vt:lpstr>
      </vt:variant>
      <vt:variant>
        <vt:i4>1</vt:i4>
      </vt:variant>
    </vt:vector>
  </HeadingPairs>
  <TitlesOfParts>
    <vt:vector size="19" baseType="lpstr">
      <vt:lpstr>tab1</vt:lpstr>
      <vt:lpstr>wykres dochodów</vt:lpstr>
      <vt:lpstr>tab2</vt:lpstr>
      <vt:lpstr>tab3</vt:lpstr>
      <vt:lpstr>tab4</vt:lpstr>
      <vt:lpstr>wykres wydatków</vt:lpstr>
      <vt:lpstr>tab5</vt:lpstr>
      <vt:lpstr>tab 6i7</vt:lpstr>
      <vt:lpstr>tab 8i9</vt:lpstr>
      <vt:lpstr>tab10</vt:lpstr>
      <vt:lpstr>tab11</vt:lpstr>
      <vt:lpstr>tab12</vt:lpstr>
      <vt:lpstr>tab13</vt:lpstr>
      <vt:lpstr>tab14</vt:lpstr>
      <vt:lpstr>zał 19</vt:lpstr>
      <vt:lpstr>zał 20</vt:lpstr>
      <vt:lpstr>Arkusz5</vt:lpstr>
      <vt:lpstr>Arkusz2</vt:lpstr>
      <vt:lpstr>'wykres dochodów'!Obszar_wydruku</vt:lpstr>
    </vt:vector>
  </TitlesOfParts>
  <Company>Powiat Białogard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Starostwo</dc:creator>
  <cp:lastModifiedBy>Starostwo Powiatowe w Białogardzie</cp:lastModifiedBy>
  <cp:lastPrinted>2010-08-24T05:52:25Z</cp:lastPrinted>
  <dcterms:created xsi:type="dcterms:W3CDTF">2003-12-03T07:20:24Z</dcterms:created>
  <dcterms:modified xsi:type="dcterms:W3CDTF">2010-08-24T05:53:53Z</dcterms:modified>
</cp:coreProperties>
</file>