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15" windowWidth="19260" windowHeight="5730" tabRatio="860" activeTab="12"/>
  </bookViews>
  <sheets>
    <sheet name="tab1" sheetId="33" r:id="rId1"/>
    <sheet name="wykres dochodów" sheetId="27" r:id="rId2"/>
    <sheet name="tab2" sheetId="8" r:id="rId3"/>
    <sheet name="tab3" sheetId="7" r:id="rId4"/>
    <sheet name="tab4" sheetId="5" r:id="rId5"/>
    <sheet name="wykres wydatków" sheetId="22" r:id="rId6"/>
    <sheet name="tab5" sheetId="31" r:id="rId7"/>
    <sheet name="tab 6i7" sheetId="30" r:id="rId8"/>
    <sheet name="tab 8i9" sheetId="43" r:id="rId9"/>
    <sheet name="tab10i11" sheetId="42" r:id="rId10"/>
    <sheet name="tab11" sheetId="1" r:id="rId11"/>
    <sheet name="tab12" sheetId="6" r:id="rId12"/>
    <sheet name="tab13" sheetId="40" r:id="rId13"/>
    <sheet name="Arkusz5" sheetId="39" r:id="rId14"/>
  </sheets>
  <definedNames>
    <definedName name="_xlnm.Print_Area" localSheetId="1">'wykres dochodów'!$A$1:$J$85</definedName>
  </definedNames>
  <calcPr calcId="124519"/>
</workbook>
</file>

<file path=xl/calcChain.xml><?xml version="1.0" encoding="utf-8"?>
<calcChain xmlns="http://schemas.openxmlformats.org/spreadsheetml/2006/main">
  <c r="H11" i="33"/>
  <c r="H14"/>
  <c r="H18"/>
  <c r="H30"/>
  <c r="H39"/>
  <c r="H53"/>
  <c r="H66"/>
  <c r="H73"/>
  <c r="H83"/>
  <c r="H92"/>
  <c r="H121"/>
  <c r="H129"/>
  <c r="H172"/>
  <c r="H168"/>
  <c r="H159" s="1"/>
  <c r="H171"/>
  <c r="H170"/>
  <c r="J162"/>
  <c r="J159" s="1"/>
  <c r="J122"/>
  <c r="J121" s="1"/>
  <c r="J100"/>
  <c r="J92"/>
  <c r="J67"/>
  <c r="J66"/>
  <c r="J56"/>
  <c r="J53"/>
  <c r="J48"/>
  <c r="J31"/>
  <c r="J30" s="1"/>
  <c r="J28"/>
  <c r="J19"/>
  <c r="J18" s="1"/>
  <c r="J11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1"/>
  <c r="F12"/>
  <c r="G35" i="30"/>
  <c r="F35"/>
  <c r="H34"/>
  <c r="H198" i="33" l="1"/>
  <c r="J198"/>
  <c r="H35" i="30"/>
  <c r="H27" i="43"/>
  <c r="H28"/>
  <c r="H29"/>
  <c r="F30"/>
  <c r="G30"/>
  <c r="H30"/>
  <c r="G15"/>
  <c r="F15"/>
  <c r="H14"/>
  <c r="H13"/>
  <c r="H12"/>
  <c r="H11"/>
  <c r="H10"/>
  <c r="G21" i="30"/>
  <c r="F21"/>
  <c r="H11"/>
  <c r="H20"/>
  <c r="H15"/>
  <c r="H14"/>
  <c r="H13"/>
  <c r="H10"/>
  <c r="M29" i="1"/>
  <c r="L29"/>
  <c r="K29"/>
  <c r="J29"/>
  <c r="I29"/>
  <c r="H29"/>
  <c r="G29"/>
  <c r="F29"/>
  <c r="E29"/>
  <c r="D29"/>
  <c r="G30"/>
  <c r="G28"/>
  <c r="G27"/>
  <c r="G23"/>
  <c r="G21"/>
  <c r="G18"/>
  <c r="D8" i="40"/>
  <c r="D9"/>
  <c r="N20" i="5"/>
  <c r="O48"/>
  <c r="O46"/>
  <c r="O43" s="1"/>
  <c r="O45"/>
  <c r="O86"/>
  <c r="O82"/>
  <c r="O73"/>
  <c r="O68"/>
  <c r="O59"/>
  <c r="O54"/>
  <c r="O41"/>
  <c r="O34"/>
  <c r="O27"/>
  <c r="O23"/>
  <c r="O21"/>
  <c r="O18"/>
  <c r="O15"/>
  <c r="O12"/>
  <c r="N86"/>
  <c r="N82"/>
  <c r="N73"/>
  <c r="N68"/>
  <c r="N59"/>
  <c r="N54"/>
  <c r="N48"/>
  <c r="N46"/>
  <c r="N45"/>
  <c r="N43" s="1"/>
  <c r="N41"/>
  <c r="N34"/>
  <c r="N27"/>
  <c r="N23"/>
  <c r="N21"/>
  <c r="N18"/>
  <c r="N15"/>
  <c r="N12"/>
  <c r="G72"/>
  <c r="H15" i="43" l="1"/>
  <c r="N90" i="5"/>
  <c r="O90"/>
  <c r="H26" i="42"/>
  <c r="G26"/>
  <c r="I25"/>
  <c r="I9"/>
  <c r="H11"/>
  <c r="G11"/>
  <c r="H16" i="31"/>
  <c r="E42" i="39"/>
  <c r="E41"/>
  <c r="E40"/>
  <c r="E39"/>
  <c r="E38"/>
  <c r="E37"/>
  <c r="E36"/>
  <c r="E35"/>
  <c r="E34"/>
  <c r="E33"/>
  <c r="E32"/>
  <c r="E31"/>
  <c r="E30"/>
  <c r="E25"/>
  <c r="E23"/>
  <c r="E22"/>
  <c r="E21"/>
  <c r="E20"/>
  <c r="E18"/>
  <c r="E14"/>
  <c r="E13"/>
  <c r="E12"/>
  <c r="E11"/>
  <c r="E10"/>
  <c r="E9"/>
  <c r="E8"/>
  <c r="E7"/>
  <c r="E6"/>
  <c r="E5"/>
  <c r="D38"/>
  <c r="D25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3"/>
  <c r="L77"/>
  <c r="L78"/>
  <c r="L83"/>
  <c r="L84"/>
  <c r="L85"/>
  <c r="L86"/>
  <c r="L87"/>
  <c r="L88"/>
  <c r="L89"/>
  <c r="L90"/>
  <c r="L91"/>
  <c r="L92"/>
  <c r="L94"/>
  <c r="L95"/>
  <c r="L96"/>
  <c r="L97"/>
  <c r="L98"/>
  <c r="L99"/>
  <c r="L100"/>
  <c r="L101"/>
  <c r="L102"/>
  <c r="L103"/>
  <c r="L107"/>
  <c r="L108"/>
  <c r="L109"/>
  <c r="L110"/>
  <c r="L111"/>
  <c r="L112"/>
  <c r="L113"/>
  <c r="L114"/>
  <c r="L115"/>
  <c r="L116"/>
  <c r="L117"/>
  <c r="L119"/>
  <c r="L121"/>
  <c r="L122"/>
  <c r="L123"/>
  <c r="L124"/>
  <c r="L126"/>
  <c r="L127"/>
  <c r="L128"/>
  <c r="L130"/>
  <c r="L133"/>
  <c r="L134"/>
  <c r="L135"/>
  <c r="L136"/>
  <c r="L141"/>
  <c r="L145"/>
  <c r="L146"/>
  <c r="L147"/>
  <c r="L148"/>
  <c r="L149"/>
  <c r="L151"/>
  <c r="L153"/>
  <c r="L154"/>
  <c r="L156"/>
  <c r="L157"/>
  <c r="L158"/>
  <c r="L161"/>
  <c r="L163"/>
  <c r="L164"/>
  <c r="L166"/>
  <c r="L167"/>
  <c r="L168"/>
  <c r="L169"/>
  <c r="L172"/>
  <c r="L173"/>
  <c r="L174"/>
  <c r="L175"/>
  <c r="D20"/>
  <c r="C20"/>
  <c r="D18"/>
  <c r="C18"/>
  <c r="D15"/>
  <c r="C15"/>
  <c r="D14"/>
  <c r="C14"/>
  <c r="D12"/>
  <c r="C12"/>
  <c r="D11"/>
  <c r="C11"/>
  <c r="D41"/>
  <c r="C41"/>
  <c r="C40"/>
  <c r="D39"/>
  <c r="C39"/>
  <c r="C38"/>
  <c r="D47"/>
  <c r="C47"/>
  <c r="D24"/>
  <c r="C24"/>
  <c r="D22"/>
  <c r="C22"/>
  <c r="D21"/>
  <c r="C21"/>
  <c r="D36"/>
  <c r="C36"/>
  <c r="D35"/>
  <c r="C35"/>
  <c r="D34"/>
  <c r="C34"/>
  <c r="D33"/>
  <c r="C33"/>
  <c r="D32"/>
  <c r="C32"/>
  <c r="D31"/>
  <c r="D30"/>
  <c r="C31"/>
  <c r="C30"/>
  <c r="G14" i="8"/>
  <c r="G13" s="1"/>
  <c r="G17"/>
  <c r="G16" s="1"/>
  <c r="G20"/>
  <c r="G21"/>
  <c r="G23"/>
  <c r="G25"/>
  <c r="G31"/>
  <c r="G30" s="1"/>
  <c r="G33"/>
  <c r="G41"/>
  <c r="G40" s="1"/>
  <c r="G44"/>
  <c r="G43" s="1"/>
  <c r="G51"/>
  <c r="G53"/>
  <c r="G54"/>
  <c r="G56"/>
  <c r="G57"/>
  <c r="E59"/>
  <c r="F59"/>
  <c r="F25"/>
  <c r="E25"/>
  <c r="M41" i="5"/>
  <c r="L41"/>
  <c r="K41"/>
  <c r="J41"/>
  <c r="I41"/>
  <c r="H41"/>
  <c r="G41"/>
  <c r="F41"/>
  <c r="M68"/>
  <c r="L68"/>
  <c r="J68"/>
  <c r="E68"/>
  <c r="D68"/>
  <c r="F87"/>
  <c r="G87"/>
  <c r="H87" s="1"/>
  <c r="H86" s="1"/>
  <c r="L86"/>
  <c r="K86"/>
  <c r="J86"/>
  <c r="I86"/>
  <c r="G86"/>
  <c r="E86"/>
  <c r="L82"/>
  <c r="K82"/>
  <c r="J82"/>
  <c r="I82"/>
  <c r="H82"/>
  <c r="G82"/>
  <c r="E82"/>
  <c r="F85"/>
  <c r="G79"/>
  <c r="G76"/>
  <c r="G75"/>
  <c r="G74"/>
  <c r="F74"/>
  <c r="K72"/>
  <c r="K68" s="1"/>
  <c r="G71"/>
  <c r="G70"/>
  <c r="G68" s="1"/>
  <c r="G66"/>
  <c r="G65"/>
  <c r="G64"/>
  <c r="G63"/>
  <c r="G62"/>
  <c r="G60"/>
  <c r="J60"/>
  <c r="I60"/>
  <c r="F60"/>
  <c r="M54"/>
  <c r="L54"/>
  <c r="K54"/>
  <c r="J54"/>
  <c r="I54"/>
  <c r="G54"/>
  <c r="E54"/>
  <c r="D54"/>
  <c r="F56"/>
  <c r="H56" s="1"/>
  <c r="P56"/>
  <c r="G52"/>
  <c r="G49"/>
  <c r="G48"/>
  <c r="M48"/>
  <c r="J48"/>
  <c r="G46"/>
  <c r="M46"/>
  <c r="G45"/>
  <c r="M45"/>
  <c r="G44"/>
  <c r="D41"/>
  <c r="M34"/>
  <c r="L34"/>
  <c r="K34"/>
  <c r="J34"/>
  <c r="E34"/>
  <c r="D34"/>
  <c r="G37"/>
  <c r="G34" s="1"/>
  <c r="I36"/>
  <c r="I34" s="1"/>
  <c r="G32"/>
  <c r="G31"/>
  <c r="G30"/>
  <c r="F29"/>
  <c r="G26"/>
  <c r="M18"/>
  <c r="L18"/>
  <c r="K18"/>
  <c r="J18"/>
  <c r="I18"/>
  <c r="E18"/>
  <c r="D18"/>
  <c r="G19"/>
  <c r="G18" s="1"/>
  <c r="F53" i="8"/>
  <c r="E53"/>
  <c r="E56"/>
  <c r="F56"/>
  <c r="E127" i="33"/>
  <c r="G63"/>
  <c r="E63"/>
  <c r="I159"/>
  <c r="G159"/>
  <c r="E196"/>
  <c r="G196"/>
  <c r="E193"/>
  <c r="G193"/>
  <c r="E191"/>
  <c r="G191"/>
  <c r="G157"/>
  <c r="E157"/>
  <c r="G146"/>
  <c r="G125"/>
  <c r="E125"/>
  <c r="I122"/>
  <c r="I121" s="1"/>
  <c r="G122"/>
  <c r="F122" s="1"/>
  <c r="E122"/>
  <c r="G100"/>
  <c r="E100"/>
  <c r="K96"/>
  <c r="K69"/>
  <c r="K68"/>
  <c r="K59"/>
  <c r="I56"/>
  <c r="I53" s="1"/>
  <c r="G56"/>
  <c r="E56"/>
  <c r="I48"/>
  <c r="G48"/>
  <c r="E48"/>
  <c r="G42"/>
  <c r="E42"/>
  <c r="K46"/>
  <c r="K44"/>
  <c r="E28"/>
  <c r="K29"/>
  <c r="I28"/>
  <c r="I19"/>
  <c r="G19"/>
  <c r="E19"/>
  <c r="K27"/>
  <c r="K26"/>
  <c r="K25"/>
  <c r="K24"/>
  <c r="K23"/>
  <c r="I10" i="42"/>
  <c r="H19" i="30"/>
  <c r="H18"/>
  <c r="H17"/>
  <c r="H16"/>
  <c r="H12"/>
  <c r="G23" i="31"/>
  <c r="F23"/>
  <c r="H22"/>
  <c r="H21"/>
  <c r="H20"/>
  <c r="H19"/>
  <c r="H18"/>
  <c r="H17"/>
  <c r="H15"/>
  <c r="H14"/>
  <c r="H13"/>
  <c r="H12"/>
  <c r="H11"/>
  <c r="D79" i="22"/>
  <c r="E79"/>
  <c r="D17" i="40"/>
  <c r="E8"/>
  <c r="E17"/>
  <c r="I198" i="33" l="1"/>
  <c r="H60" i="5"/>
  <c r="H74"/>
  <c r="I26" i="42"/>
  <c r="I11"/>
  <c r="H23" i="31"/>
  <c r="C43" i="39"/>
  <c r="D43"/>
  <c r="I18" i="33"/>
  <c r="H21" i="30"/>
  <c r="N30" i="1"/>
  <c r="N28"/>
  <c r="N27"/>
  <c r="N25"/>
  <c r="N23"/>
  <c r="N21"/>
  <c r="N20"/>
  <c r="N18"/>
  <c r="N17"/>
  <c r="N16"/>
  <c r="N14"/>
  <c r="N12"/>
  <c r="M26"/>
  <c r="L26"/>
  <c r="K26"/>
  <c r="J26"/>
  <c r="I26"/>
  <c r="E26"/>
  <c r="M24"/>
  <c r="L24"/>
  <c r="K24"/>
  <c r="J24"/>
  <c r="I24"/>
  <c r="G24"/>
  <c r="E24"/>
  <c r="M22"/>
  <c r="L22"/>
  <c r="K22"/>
  <c r="J22"/>
  <c r="I22"/>
  <c r="E22"/>
  <c r="M19"/>
  <c r="L19"/>
  <c r="K19"/>
  <c r="J19"/>
  <c r="I19"/>
  <c r="E19"/>
  <c r="M15"/>
  <c r="L15"/>
  <c r="K15"/>
  <c r="J15"/>
  <c r="I15"/>
  <c r="E15"/>
  <c r="D15"/>
  <c r="M13"/>
  <c r="L13"/>
  <c r="K13"/>
  <c r="J13"/>
  <c r="I13"/>
  <c r="G13"/>
  <c r="E13"/>
  <c r="M11"/>
  <c r="M31" s="1"/>
  <c r="L11"/>
  <c r="K11"/>
  <c r="K31" s="1"/>
  <c r="J11"/>
  <c r="I11"/>
  <c r="I31" s="1"/>
  <c r="G11"/>
  <c r="E11"/>
  <c r="F30"/>
  <c r="F28"/>
  <c r="G26"/>
  <c r="F27"/>
  <c r="H27" s="1"/>
  <c r="F25"/>
  <c r="H25" s="1"/>
  <c r="H24" s="1"/>
  <c r="G22"/>
  <c r="F23"/>
  <c r="H23" s="1"/>
  <c r="H22" s="1"/>
  <c r="F21"/>
  <c r="H21" s="1"/>
  <c r="H19" s="1"/>
  <c r="F20"/>
  <c r="G20" s="1"/>
  <c r="G19" s="1"/>
  <c r="G15"/>
  <c r="F18"/>
  <c r="F12"/>
  <c r="F11" s="1"/>
  <c r="G36" i="8"/>
  <c r="G35" s="1"/>
  <c r="G59" s="1"/>
  <c r="H52"/>
  <c r="E51"/>
  <c r="F51"/>
  <c r="F36"/>
  <c r="E36"/>
  <c r="E31"/>
  <c r="F31"/>
  <c r="P89" i="5"/>
  <c r="P88"/>
  <c r="P87"/>
  <c r="P85"/>
  <c r="P84"/>
  <c r="P83"/>
  <c r="P81"/>
  <c r="P80"/>
  <c r="P79"/>
  <c r="P78"/>
  <c r="P77"/>
  <c r="P76"/>
  <c r="P75"/>
  <c r="P74"/>
  <c r="P72"/>
  <c r="P71"/>
  <c r="P70"/>
  <c r="P69"/>
  <c r="P67"/>
  <c r="P66"/>
  <c r="P65"/>
  <c r="P64"/>
  <c r="P63"/>
  <c r="P62"/>
  <c r="P61"/>
  <c r="P60"/>
  <c r="P58"/>
  <c r="P55"/>
  <c r="P53"/>
  <c r="P52"/>
  <c r="P51"/>
  <c r="P50"/>
  <c r="P49"/>
  <c r="P48"/>
  <c r="P47"/>
  <c r="P46"/>
  <c r="P45"/>
  <c r="P44"/>
  <c r="P40"/>
  <c r="P38"/>
  <c r="P37"/>
  <c r="P36"/>
  <c r="P33"/>
  <c r="P32"/>
  <c r="P31"/>
  <c r="P30"/>
  <c r="P29"/>
  <c r="P28"/>
  <c r="P26"/>
  <c r="P25"/>
  <c r="P24"/>
  <c r="P22"/>
  <c r="P20"/>
  <c r="P19"/>
  <c r="P17"/>
  <c r="P16"/>
  <c r="P14"/>
  <c r="P13"/>
  <c r="L27"/>
  <c r="K27"/>
  <c r="J27"/>
  <c r="I27"/>
  <c r="E27"/>
  <c r="M82"/>
  <c r="M73"/>
  <c r="L73"/>
  <c r="K73"/>
  <c r="J73"/>
  <c r="E73"/>
  <c r="D73"/>
  <c r="F81"/>
  <c r="F80"/>
  <c r="H80" s="1"/>
  <c r="F76"/>
  <c r="H76" s="1"/>
  <c r="F75"/>
  <c r="H75" s="1"/>
  <c r="M59"/>
  <c r="L59"/>
  <c r="K59"/>
  <c r="E59"/>
  <c r="D59"/>
  <c r="F67"/>
  <c r="H67" s="1"/>
  <c r="F64"/>
  <c r="H64" s="1"/>
  <c r="F61"/>
  <c r="J59"/>
  <c r="I59"/>
  <c r="L43"/>
  <c r="K43"/>
  <c r="E43"/>
  <c r="P34"/>
  <c r="F51"/>
  <c r="H51" s="1"/>
  <c r="J43"/>
  <c r="F48"/>
  <c r="H48" s="1"/>
  <c r="M43"/>
  <c r="F38"/>
  <c r="H38" s="1"/>
  <c r="F37"/>
  <c r="M23"/>
  <c r="L23"/>
  <c r="K23"/>
  <c r="J23"/>
  <c r="I23"/>
  <c r="E23"/>
  <c r="D23"/>
  <c r="L21"/>
  <c r="K21"/>
  <c r="J21"/>
  <c r="I21"/>
  <c r="G21"/>
  <c r="E21"/>
  <c r="D21"/>
  <c r="M15"/>
  <c r="L15"/>
  <c r="K15"/>
  <c r="I15"/>
  <c r="G15"/>
  <c r="E15"/>
  <c r="D15"/>
  <c r="M12"/>
  <c r="L12"/>
  <c r="K12"/>
  <c r="J12"/>
  <c r="I12"/>
  <c r="G12"/>
  <c r="E12"/>
  <c r="D12"/>
  <c r="M27"/>
  <c r="F28"/>
  <c r="G23"/>
  <c r="M21"/>
  <c r="F19"/>
  <c r="F17"/>
  <c r="H17" s="1"/>
  <c r="H15" s="1"/>
  <c r="F16"/>
  <c r="J16" s="1"/>
  <c r="J15" s="1"/>
  <c r="F14"/>
  <c r="H14" s="1"/>
  <c r="F13"/>
  <c r="H13" s="1"/>
  <c r="K194" i="33"/>
  <c r="K188"/>
  <c r="K187"/>
  <c r="K185"/>
  <c r="K184"/>
  <c r="K183"/>
  <c r="K181"/>
  <c r="K180"/>
  <c r="K179"/>
  <c r="K178"/>
  <c r="K176"/>
  <c r="K175"/>
  <c r="K174"/>
  <c r="K171"/>
  <c r="K170"/>
  <c r="K167"/>
  <c r="K166"/>
  <c r="K165"/>
  <c r="K161"/>
  <c r="K156"/>
  <c r="K155"/>
  <c r="K154"/>
  <c r="K153"/>
  <c r="K151"/>
  <c r="K148"/>
  <c r="K144"/>
  <c r="K138"/>
  <c r="K136"/>
  <c r="K134"/>
  <c r="K132"/>
  <c r="K131"/>
  <c r="K128"/>
  <c r="K123"/>
  <c r="K120"/>
  <c r="K116"/>
  <c r="K112"/>
  <c r="K103"/>
  <c r="K99"/>
  <c r="K97"/>
  <c r="K95"/>
  <c r="K94"/>
  <c r="K91"/>
  <c r="K89"/>
  <c r="K87"/>
  <c r="K85"/>
  <c r="K82"/>
  <c r="K81"/>
  <c r="K78"/>
  <c r="K77"/>
  <c r="K76"/>
  <c r="K75"/>
  <c r="K72"/>
  <c r="K70"/>
  <c r="K65"/>
  <c r="K62"/>
  <c r="K61"/>
  <c r="K58"/>
  <c r="K55"/>
  <c r="K51"/>
  <c r="K47"/>
  <c r="K41"/>
  <c r="K38"/>
  <c r="K37"/>
  <c r="K34"/>
  <c r="K33"/>
  <c r="K32"/>
  <c r="K21"/>
  <c r="K17"/>
  <c r="K13"/>
  <c r="I67"/>
  <c r="I66" s="1"/>
  <c r="I100"/>
  <c r="G67"/>
  <c r="G186"/>
  <c r="G182"/>
  <c r="G190"/>
  <c r="E173"/>
  <c r="G173"/>
  <c r="E168"/>
  <c r="G168"/>
  <c r="G150"/>
  <c r="E146"/>
  <c r="G137"/>
  <c r="E137"/>
  <c r="G28"/>
  <c r="K28" s="1"/>
  <c r="G15"/>
  <c r="G14" s="1"/>
  <c r="E15"/>
  <c r="G74"/>
  <c r="E74"/>
  <c r="G93"/>
  <c r="E93"/>
  <c r="G109"/>
  <c r="E115"/>
  <c r="E150"/>
  <c r="E190"/>
  <c r="E195"/>
  <c r="E186"/>
  <c r="E182"/>
  <c r="G130"/>
  <c r="E130"/>
  <c r="K114"/>
  <c r="K113"/>
  <c r="K111"/>
  <c r="K110"/>
  <c r="K107"/>
  <c r="K106"/>
  <c r="K102"/>
  <c r="K101"/>
  <c r="E98"/>
  <c r="K98" s="1"/>
  <c r="E84"/>
  <c r="E86"/>
  <c r="E67"/>
  <c r="E18"/>
  <c r="I11"/>
  <c r="F14" i="1"/>
  <c r="F13" s="1"/>
  <c r="E31" l="1"/>
  <c r="N15"/>
  <c r="H12"/>
  <c r="H11" s="1"/>
  <c r="K90" i="5"/>
  <c r="F18"/>
  <c r="H19"/>
  <c r="J90"/>
  <c r="H37"/>
  <c r="H34" s="1"/>
  <c r="F34"/>
  <c r="G28"/>
  <c r="G27" s="1"/>
  <c r="P21"/>
  <c r="P73"/>
  <c r="P54"/>
  <c r="P59"/>
  <c r="G73"/>
  <c r="P18"/>
  <c r="P23"/>
  <c r="P15"/>
  <c r="H51" i="8"/>
  <c r="K137" i="33"/>
  <c r="K146"/>
  <c r="K173"/>
  <c r="K93"/>
  <c r="K19"/>
  <c r="K63"/>
  <c r="K150"/>
  <c r="K186"/>
  <c r="K122"/>
  <c r="K193"/>
  <c r="K182"/>
  <c r="K67"/>
  <c r="H28" i="1"/>
  <c r="H30"/>
  <c r="L31"/>
  <c r="G31"/>
  <c r="J31"/>
  <c r="F19"/>
  <c r="F24"/>
  <c r="H18"/>
  <c r="H15" s="1"/>
  <c r="F15"/>
  <c r="F22"/>
  <c r="F26"/>
  <c r="H14"/>
  <c r="H13" s="1"/>
  <c r="F45" i="5"/>
  <c r="H45" s="1"/>
  <c r="H12"/>
  <c r="H18"/>
  <c r="F12"/>
  <c r="F15"/>
  <c r="K168" i="33"/>
  <c r="K130"/>
  <c r="K74"/>
  <c r="K190"/>
  <c r="G195"/>
  <c r="K15"/>
  <c r="K22"/>
  <c r="K100"/>
  <c r="E109"/>
  <c r="K109" s="1"/>
  <c r="G18"/>
  <c r="K18" s="1"/>
  <c r="F70" i="5"/>
  <c r="F88"/>
  <c r="F86" s="1"/>
  <c r="H26" i="1" l="1"/>
  <c r="H31" s="1"/>
  <c r="H70" i="5"/>
  <c r="F31" i="1"/>
  <c r="F84" i="5"/>
  <c r="F83"/>
  <c r="F79"/>
  <c r="H79" s="1"/>
  <c r="F78"/>
  <c r="F77"/>
  <c r="F72"/>
  <c r="H72" s="1"/>
  <c r="F71"/>
  <c r="H71" s="1"/>
  <c r="F69"/>
  <c r="F66"/>
  <c r="H66" s="1"/>
  <c r="F65"/>
  <c r="H65" s="1"/>
  <c r="F63"/>
  <c r="G59" s="1"/>
  <c r="F62"/>
  <c r="H62" s="1"/>
  <c r="F58"/>
  <c r="D43"/>
  <c r="F52"/>
  <c r="H52" s="1"/>
  <c r="F50"/>
  <c r="I50" s="1"/>
  <c r="I43" s="1"/>
  <c r="F49"/>
  <c r="H49" s="1"/>
  <c r="F47"/>
  <c r="G43" s="1"/>
  <c r="G90" s="1"/>
  <c r="F46"/>
  <c r="H46" s="1"/>
  <c r="F44"/>
  <c r="H44" s="1"/>
  <c r="F40"/>
  <c r="L40" s="1"/>
  <c r="F33"/>
  <c r="H33" s="1"/>
  <c r="F32"/>
  <c r="H32" s="1"/>
  <c r="F31"/>
  <c r="H31" s="1"/>
  <c r="F30"/>
  <c r="H30" s="1"/>
  <c r="F26"/>
  <c r="H26" s="1"/>
  <c r="F22"/>
  <c r="E57" i="8"/>
  <c r="I162" i="33"/>
  <c r="E121"/>
  <c r="G115"/>
  <c r="K115" s="1"/>
  <c r="E71"/>
  <c r="E66" s="1"/>
  <c r="E119"/>
  <c r="E92" s="1"/>
  <c r="G119"/>
  <c r="E4" i="39"/>
  <c r="F23" i="8"/>
  <c r="F21"/>
  <c r="I31" i="33"/>
  <c r="I30" s="1"/>
  <c r="G139"/>
  <c r="G127"/>
  <c r="G121" s="1"/>
  <c r="G71"/>
  <c r="K71" s="1"/>
  <c r="F39" i="5"/>
  <c r="M86"/>
  <c r="M90" s="1"/>
  <c r="L39"/>
  <c r="L90" s="1"/>
  <c r="G198" i="33" l="1"/>
  <c r="F121"/>
  <c r="F198" s="1"/>
  <c r="H68" i="5"/>
  <c r="F82"/>
  <c r="F68"/>
  <c r="C26" i="39"/>
  <c r="I69" i="5"/>
  <c r="I68" s="1"/>
  <c r="I78"/>
  <c r="I73" s="1"/>
  <c r="H58"/>
  <c r="H54" s="1"/>
  <c r="P43"/>
  <c r="F21"/>
  <c r="H22"/>
  <c r="H27"/>
  <c r="F27"/>
  <c r="K119" i="33"/>
  <c r="F59" i="5"/>
  <c r="H59"/>
  <c r="F73"/>
  <c r="H73"/>
  <c r="H43"/>
  <c r="F43"/>
  <c r="H23"/>
  <c r="F23"/>
  <c r="H21"/>
  <c r="F55"/>
  <c r="F54" s="1"/>
  <c r="K56" i="33"/>
  <c r="K121"/>
  <c r="K127"/>
  <c r="G66"/>
  <c r="K66" s="1"/>
  <c r="E43" i="39"/>
  <c r="E47"/>
  <c r="D26"/>
  <c r="D161" s="1"/>
  <c r="I92" i="33"/>
  <c r="I90" i="5" l="1"/>
  <c r="H90"/>
  <c r="F90"/>
  <c r="E26" i="39"/>
  <c r="D86" i="5"/>
  <c r="P86" s="1"/>
  <c r="D82"/>
  <c r="P82" s="1"/>
  <c r="E139" i="33"/>
  <c r="K139" s="1"/>
  <c r="G177" l="1"/>
  <c r="E177"/>
  <c r="E172" s="1"/>
  <c r="G162"/>
  <c r="E162"/>
  <c r="G160"/>
  <c r="E160"/>
  <c r="E159" s="1"/>
  <c r="G152"/>
  <c r="E152"/>
  <c r="E129" s="1"/>
  <c r="G92"/>
  <c r="K92" s="1"/>
  <c r="G90"/>
  <c r="E90"/>
  <c r="G88"/>
  <c r="E88"/>
  <c r="G86"/>
  <c r="K86" s="1"/>
  <c r="G84"/>
  <c r="K84" s="1"/>
  <c r="G80"/>
  <c r="E80"/>
  <c r="E73" s="1"/>
  <c r="G60"/>
  <c r="E60"/>
  <c r="G54"/>
  <c r="G53" s="1"/>
  <c r="E54"/>
  <c r="E53" s="1"/>
  <c r="K48"/>
  <c r="G40"/>
  <c r="E40"/>
  <c r="G31"/>
  <c r="E31"/>
  <c r="E14"/>
  <c r="K14" s="1"/>
  <c r="G12"/>
  <c r="G11" s="1"/>
  <c r="E12"/>
  <c r="E11" s="1"/>
  <c r="K60" l="1"/>
  <c r="K88"/>
  <c r="K160"/>
  <c r="K54"/>
  <c r="K90"/>
  <c r="K162"/>
  <c r="K31"/>
  <c r="K40"/>
  <c r="K42"/>
  <c r="K12"/>
  <c r="G73"/>
  <c r="K73" s="1"/>
  <c r="K80"/>
  <c r="K152"/>
  <c r="G129"/>
  <c r="K129" s="1"/>
  <c r="G172"/>
  <c r="K172" s="1"/>
  <c r="K177"/>
  <c r="K53"/>
  <c r="G30"/>
  <c r="E83"/>
  <c r="E39"/>
  <c r="E30"/>
  <c r="G39"/>
  <c r="G83"/>
  <c r="K159" l="1"/>
  <c r="K39"/>
  <c r="K30"/>
  <c r="K83"/>
  <c r="E198"/>
  <c r="K11"/>
  <c r="K198" l="1"/>
  <c r="F17" i="8"/>
  <c r="E17"/>
  <c r="H55"/>
  <c r="H49"/>
  <c r="H42"/>
  <c r="H39"/>
  <c r="H34"/>
  <c r="H32"/>
  <c r="H28"/>
  <c r="H24"/>
  <c r="H22"/>
  <c r="H19"/>
  <c r="H18"/>
  <c r="H15"/>
  <c r="E44"/>
  <c r="E43" s="1"/>
  <c r="F44"/>
  <c r="F43" s="1"/>
  <c r="E13" i="6"/>
  <c r="E15" s="1"/>
  <c r="H17" i="8" l="1"/>
  <c r="H44"/>
  <c r="H25"/>
  <c r="E39" i="5" l="1"/>
  <c r="E90" s="1"/>
  <c r="P68"/>
  <c r="E38" i="22" l="1"/>
  <c r="E10"/>
  <c r="E73"/>
  <c r="D73"/>
  <c r="F70"/>
  <c r="F67"/>
  <c r="F66"/>
  <c r="F65"/>
  <c r="F62"/>
  <c r="F61"/>
  <c r="F57"/>
  <c r="F54"/>
  <c r="F53"/>
  <c r="F51"/>
  <c r="F45"/>
  <c r="D42"/>
  <c r="F41"/>
  <c r="F40"/>
  <c r="F39"/>
  <c r="F38"/>
  <c r="F37"/>
  <c r="F36"/>
  <c r="F35"/>
  <c r="F28"/>
  <c r="F26"/>
  <c r="F22"/>
  <c r="F21"/>
  <c r="F18" s="1"/>
  <c r="F16"/>
  <c r="F13" s="1"/>
  <c r="F11"/>
  <c r="F10"/>
  <c r="F9"/>
  <c r="F41" i="8"/>
  <c r="F54"/>
  <c r="F57"/>
  <c r="F16"/>
  <c r="F33"/>
  <c r="E41"/>
  <c r="E40" s="1"/>
  <c r="E54"/>
  <c r="E16"/>
  <c r="E21"/>
  <c r="E23"/>
  <c r="E33"/>
  <c r="E35"/>
  <c r="F14"/>
  <c r="F13" s="1"/>
  <c r="E14"/>
  <c r="E13" s="1"/>
  <c r="H13" s="1"/>
  <c r="G18" i="7"/>
  <c r="F17"/>
  <c r="F16" s="1"/>
  <c r="F19" s="1"/>
  <c r="E17"/>
  <c r="E16" s="1"/>
  <c r="E19" s="1"/>
  <c r="D27" i="5"/>
  <c r="D90" s="1"/>
  <c r="D39"/>
  <c r="P39" s="1"/>
  <c r="D26" i="1"/>
  <c r="N26" s="1"/>
  <c r="D11"/>
  <c r="N11" s="1"/>
  <c r="D13"/>
  <c r="N13" s="1"/>
  <c r="D19"/>
  <c r="N19" s="1"/>
  <c r="D22"/>
  <c r="N22" s="1"/>
  <c r="D24"/>
  <c r="N24" s="1"/>
  <c r="N29"/>
  <c r="F13" i="6"/>
  <c r="F15" s="1"/>
  <c r="D13"/>
  <c r="D15" s="1"/>
  <c r="N14"/>
  <c r="P90" i="5" l="1"/>
  <c r="P27"/>
  <c r="F50" i="22"/>
  <c r="D31" i="1"/>
  <c r="N31" s="1"/>
  <c r="H16" i="8"/>
  <c r="F60" i="22"/>
  <c r="F64"/>
  <c r="E30" i="8"/>
  <c r="P12" i="5"/>
  <c r="G17" i="7"/>
  <c r="H54" i="8"/>
  <c r="H41"/>
  <c r="F35"/>
  <c r="H35" s="1"/>
  <c r="H36"/>
  <c r="F30"/>
  <c r="H33"/>
  <c r="H31"/>
  <c r="H23"/>
  <c r="H21"/>
  <c r="H14"/>
  <c r="F20"/>
  <c r="E20"/>
  <c r="N15" i="6"/>
  <c r="G16" i="7"/>
  <c r="F40" i="8"/>
  <c r="H40" s="1"/>
  <c r="N13" i="6"/>
  <c r="H30" i="8" l="1"/>
  <c r="H43"/>
  <c r="H53"/>
  <c r="H20"/>
  <c r="G19" i="7"/>
  <c r="H59" i="8" l="1"/>
</calcChain>
</file>

<file path=xl/sharedStrings.xml><?xml version="1.0" encoding="utf-8"?>
<sst xmlns="http://schemas.openxmlformats.org/spreadsheetml/2006/main" count="1146" uniqueCount="351">
  <si>
    <t>Dział</t>
  </si>
  <si>
    <t>Nazwa podziałki klasyfikacji budżetowej</t>
  </si>
  <si>
    <t>Prognozowane dochody budżetu</t>
  </si>
  <si>
    <t>Powiatu Białogardzkiego</t>
  </si>
  <si>
    <t>(ogółem)</t>
  </si>
  <si>
    <t>związane z realizacją zadań z zakresu administracji rządowej oraz innych zadań zleconych ustawami</t>
  </si>
  <si>
    <t>związane z realizacją zadań z zakresu administracji rządowej na podstawie porozumień z organami tej administracji</t>
  </si>
  <si>
    <t>Wydatki budżetu</t>
  </si>
  <si>
    <t>Rozdział</t>
  </si>
  <si>
    <t>Wydatki bieżące</t>
  </si>
  <si>
    <t>w tym</t>
  </si>
  <si>
    <t>Wydatki na obsługę długu</t>
  </si>
  <si>
    <t xml:space="preserve"> </t>
  </si>
  <si>
    <t>010</t>
  </si>
  <si>
    <t>020</t>
  </si>
  <si>
    <t>Podatek dochodowy od osób fizycznych</t>
  </si>
  <si>
    <t>0010</t>
  </si>
  <si>
    <t>Subwencje ogólne z budżetu państwa</t>
  </si>
  <si>
    <t>0420</t>
  </si>
  <si>
    <t>Wpływy z opłaty komunikacyjnej</t>
  </si>
  <si>
    <t>0470</t>
  </si>
  <si>
    <t>0750</t>
  </si>
  <si>
    <t>0770</t>
  </si>
  <si>
    <t>Wpływy z opłat za zarząd, użytkowanie i użytkowanie wieczyste nieruchomości</t>
  </si>
  <si>
    <t>Dotacje celowe otrzymane z budżetu państwa na zadania bieżące realizowane przez powiat na podstawie porozumień z organami administracji rządowej</t>
  </si>
  <si>
    <t>Dotacje celowe otrzymane z budżetu państwa na realizację bieżących zadań własnych powiatu</t>
  </si>
  <si>
    <t>Razem</t>
  </si>
  <si>
    <t>Rolnictwo i łowiectwo</t>
  </si>
  <si>
    <t>Leśnictwo</t>
  </si>
  <si>
    <t>Gospodarka mieszkaniowa</t>
  </si>
  <si>
    <t>Działalność usługowa</t>
  </si>
  <si>
    <t>Administracja publiczna</t>
  </si>
  <si>
    <t>Bezpieczeństwo publiczne i ochrona przeciwpożarowa</t>
  </si>
  <si>
    <t>Różne rozliczenia</t>
  </si>
  <si>
    <t>Ochrona zdrowia</t>
  </si>
  <si>
    <t>Pomoc społeczna</t>
  </si>
  <si>
    <t>Pozostałe zadania w zakresie polityki społecznej</t>
  </si>
  <si>
    <t>0690</t>
  </si>
  <si>
    <t>Wpływy z różnych opłat</t>
  </si>
  <si>
    <t>Drogi publiczne powiatowe</t>
  </si>
  <si>
    <t>Komendy powiatowe Państwowej Straży Pożarnej</t>
  </si>
  <si>
    <t>Szkoły podstawowe specjalne</t>
  </si>
  <si>
    <t>Licea profilowane</t>
  </si>
  <si>
    <t>Szkoły zawodowe</t>
  </si>
  <si>
    <t>Poradnie psychologiczno-pedagogiczne</t>
  </si>
  <si>
    <t>Placówki wychowania pozaszkolnego</t>
  </si>
  <si>
    <t>Internaty i bursy szkolne</t>
  </si>
  <si>
    <t>Licea ogólnokształcące</t>
  </si>
  <si>
    <t>01005</t>
  </si>
  <si>
    <t>0920</t>
  </si>
  <si>
    <t>Obrona narodowa</t>
  </si>
  <si>
    <t>Pozostałe wydatki obronne</t>
  </si>
  <si>
    <t>0020</t>
  </si>
  <si>
    <t>Podatek dochodowy od osób prawnych</t>
  </si>
  <si>
    <t>Oświata i wychowanie</t>
  </si>
  <si>
    <t>0830</t>
  </si>
  <si>
    <t>0970</t>
  </si>
  <si>
    <t>Wpływy z usług</t>
  </si>
  <si>
    <t>Wpływy z różnych dochodów</t>
  </si>
  <si>
    <t>Pozostałe odsetki</t>
  </si>
  <si>
    <t>Wpłaty z tytułu odpłatnego nabycia prawa własności  oraz prawa użytkowania wieczystego nieruchomości</t>
  </si>
  <si>
    <t>Dochody od osób prawnych, od osób fizycznych i od innych jednostek nieposiadających osobowości prawnej oraz wydatki związane z ich poborem</t>
  </si>
  <si>
    <t>Rozdz.</t>
  </si>
  <si>
    <t>§</t>
  </si>
  <si>
    <t>Prace geodezyjno-urządzeniowe na potrzeby rolnictwa</t>
  </si>
  <si>
    <t>Dot.cel.otrzymane z budżetu państwa na zad. bieżące z zakresu adm. rządowej oraz inne zad. zlecone ustawami realiz.przez powiat</t>
  </si>
  <si>
    <t>02001</t>
  </si>
  <si>
    <t>Gospodarka leśna</t>
  </si>
  <si>
    <t>Środki otrzymane od pozost. jednostek zalicz. do sektora fin. publ. na realizację zadań bieżących jedn. zaliczanych do sektora finansów publ.</t>
  </si>
  <si>
    <t>Transport i łączność</t>
  </si>
  <si>
    <t>Gospodarka gruntami i nieruchomościami</t>
  </si>
  <si>
    <t>Prace geodezyjne i kartograficzne</t>
  </si>
  <si>
    <t>Opracowania geodezyjne i kartograficzne</t>
  </si>
  <si>
    <t>Nadzór budowlany</t>
  </si>
  <si>
    <t>Pozostała działalność</t>
  </si>
  <si>
    <t>Urzędy wojewódzkie</t>
  </si>
  <si>
    <t>Starostwa powiatowe</t>
  </si>
  <si>
    <t>Komisje poborowe</t>
  </si>
  <si>
    <t>Obrona cywilna</t>
  </si>
  <si>
    <t>Udziały powiatów w podatkach stanowiących dochód budżetu państwa</t>
  </si>
  <si>
    <t>Część oświatowa subwencji ogólnej dla jednostek samorządu terytorialnego</t>
  </si>
  <si>
    <t>Część wyrównawcza subwencji ogólnej dla powiatów</t>
  </si>
  <si>
    <t>Różne rozliczenia finansowe</t>
  </si>
  <si>
    <t>Część równoważąca subwencji ogólnej dla powiatów</t>
  </si>
  <si>
    <t>Dokształcanie i doskonalenie nauczycieli</t>
  </si>
  <si>
    <t>Szpitale ogólne</t>
  </si>
  <si>
    <t>Przeciwdziałanie alkoholizmowi</t>
  </si>
  <si>
    <t>Składki na ubezpieczenie zdrowotne oraz świadczenia dla osób nieobjętych obowiązkiem ubezpieczenia zdrowotnego</t>
  </si>
  <si>
    <t>Placówki opiekuńczo-wychowawcze</t>
  </si>
  <si>
    <t>Domy pomocy społecznej</t>
  </si>
  <si>
    <t>Ośrodki wsparcia</t>
  </si>
  <si>
    <t>Zasiłki rodzinne, pielęgnacyjne i wychowawcze</t>
  </si>
  <si>
    <t>Powiatowe centra pomocy rodzinie</t>
  </si>
  <si>
    <t>Zespoły do spraw orzekania o niepełnospr.</t>
  </si>
  <si>
    <t>Powiatowe urzędy pracy</t>
  </si>
  <si>
    <t>Edukacyjna opieka wychowawcza</t>
  </si>
  <si>
    <t>Poradnie psychologiczno-pedagogiczne, w tym poradnie specjalistyczne</t>
  </si>
  <si>
    <t>Pomoc materialna dla uczniów</t>
  </si>
  <si>
    <t>Kultura fizyczna i sport</t>
  </si>
  <si>
    <t>Zadania w zakresie kultury fizycznej i sportu</t>
  </si>
  <si>
    <t>0960</t>
  </si>
  <si>
    <t>02002</t>
  </si>
  <si>
    <t>Nadzór nad gospodarką leśną</t>
  </si>
  <si>
    <t>Działalnośc usługowa</t>
  </si>
  <si>
    <t>Prace geodezyjne i urządzeniowe</t>
  </si>
  <si>
    <t>Rady powiatów</t>
  </si>
  <si>
    <t>Bezpieczeństwo publ. i ochr.przeciwpoż.</t>
  </si>
  <si>
    <t>Komendy wojewódzkie policji</t>
  </si>
  <si>
    <t>Komendy powiat. Państwowej Straży Pożarnej</t>
  </si>
  <si>
    <t>Obsługa długu publicznego</t>
  </si>
  <si>
    <t>Obsługa papierów wartościowychj, kredytów i pożyczek j.s.t</t>
  </si>
  <si>
    <t>Gimnazja specjalne</t>
  </si>
  <si>
    <t>Szkoły zawodowe specjalne</t>
  </si>
  <si>
    <t>Rodziny zastępcze</t>
  </si>
  <si>
    <t>Świadczenia rodzinne oraz składki na ubezpieczenie emerytalne i rentowe z ubezpieczenia społecznego</t>
  </si>
  <si>
    <t>Pozost. zad.w zakresie polityki społecznej</t>
  </si>
  <si>
    <t>Zespoły ds.orzekania o niepełnospr.</t>
  </si>
  <si>
    <t>Kultura i ochrona dziedzictwa narodowego</t>
  </si>
  <si>
    <t>Pozostałe zadania w zakresie kultury</t>
  </si>
  <si>
    <t>Młodzieżowe osrodki wychowawcze</t>
  </si>
  <si>
    <t>01008</t>
  </si>
  <si>
    <t>Melioracje wodne</t>
  </si>
  <si>
    <t>Pomoc materialna dla studentów</t>
  </si>
  <si>
    <t>RAZEM</t>
  </si>
  <si>
    <t>% wykonania do planu</t>
  </si>
  <si>
    <t>Pomoc dla repatriantów</t>
  </si>
  <si>
    <t>Kolonie i obozy oraz inne formy wypoczynku dzieci i młodzieży szkolnej, a także szkol.młodzieży</t>
  </si>
  <si>
    <t>Wykonanie</t>
  </si>
  <si>
    <t>% wykonania</t>
  </si>
  <si>
    <t>0570</t>
  </si>
  <si>
    <t>Młodzieżowe ośrodki wychowawcze</t>
  </si>
  <si>
    <t>Dochody jednostek samorządu terytorialnego związane z realizacją zadań z zakr.admin. rzadowej oraz innych zadań zleconych ustawami</t>
  </si>
  <si>
    <t>Dochody z najmu i dierżawy składników majątkowych Skarbu Państwa, jednostek samorz.teryt. lub innych jednostek zaliczanych do s. f.p. oraz innych umów o podobnym charakterze</t>
  </si>
  <si>
    <t>Dotacje celowe o trzymane z gminy na zadania bieżące realizaowane na podstawie porozumień (umów) między jedn.samorz.terytor.</t>
  </si>
  <si>
    <t>Wpływy ze zwrotów dotacji wykorzystanych niezgodnie z przeznaczeniem lub pobranych w nadmiernej wysokości</t>
  </si>
  <si>
    <t>Dotacje celowe otrzymane z powiatu na zadania bieżące realizowane  na podstawie porozumień (umów) między jedn. samorz. teryt.</t>
  </si>
  <si>
    <t>Plan</t>
  </si>
  <si>
    <t>%</t>
  </si>
  <si>
    <t>Gospodarka komunalna i ochrona środowiska</t>
  </si>
  <si>
    <t>700</t>
  </si>
  <si>
    <t>710</t>
  </si>
  <si>
    <t>750</t>
  </si>
  <si>
    <t>Promocja jednostek samorządu terytorialnego</t>
  </si>
  <si>
    <t xml:space="preserve">         w zł</t>
  </si>
  <si>
    <t xml:space="preserve">           w zł</t>
  </si>
  <si>
    <t xml:space="preserve">              w zł</t>
  </si>
  <si>
    <t>Obsługa papierów wartościowych, kredytów i pożyczek j.s.t</t>
  </si>
  <si>
    <t>0680</t>
  </si>
  <si>
    <t xml:space="preserve"> z tego: </t>
  </si>
  <si>
    <t>Wydatki majątkowe</t>
  </si>
  <si>
    <t xml:space="preserve"> z tego :</t>
  </si>
  <si>
    <t>Ośrodki rewalidacyjno-wychowawcze</t>
  </si>
  <si>
    <t>Obiekty sportowe</t>
  </si>
  <si>
    <t>Rehabilitacja zawodowa i społ. osób niepełnosprawnych</t>
  </si>
  <si>
    <t xml:space="preserve">Dotacje celowe otrzymane z budżetu państwa na realizację bieżących zadań własnych powiatu </t>
  </si>
  <si>
    <t>Otrzymane spadki, zapisy i darowizny w postaci pieniężnej</t>
  </si>
  <si>
    <t>Wpływy od rodziców z tytułu odpłatności za utrzymanie dzieci (wychowanków) w placówkach opiekuńczo-wychowawczych</t>
  </si>
  <si>
    <t>Treść</t>
  </si>
  <si>
    <t>Plan po zmianach</t>
  </si>
  <si>
    <t>Grzywny, mandaty i inne kary pienieżne od osób fizycznych</t>
  </si>
  <si>
    <t>Ogółem</t>
  </si>
  <si>
    <t>Kwota dotacji</t>
  </si>
  <si>
    <t>Prywatne Studium SCHOLAR</t>
  </si>
  <si>
    <t>Prywatne Liceum Profilowane SCHOLAR (dla młodzieży)</t>
  </si>
  <si>
    <t>Prywatne Policealne Studium Zawodowe</t>
  </si>
  <si>
    <t>w zł</t>
  </si>
  <si>
    <t>Dochody z najmu i dzierżawy składników majątkowych Skarbu Państwa, jednostek samorz.teryt. lub innych jednostek zaliczanych do s. f.p. oraz innych umów o podobnym charakterze</t>
  </si>
  <si>
    <t>Zarządzanie kryzysowe</t>
  </si>
  <si>
    <t>Wpływy z innych opłat stanowiących dochody jednostek samorządu terytorialnego na podstawie ustaw</t>
  </si>
  <si>
    <t>0490</t>
  </si>
  <si>
    <t>Wpływyz innych lokalnych opłat pobieranych przez jednostki samorządu terytorialnego na podstawie odrenych ustaw</t>
  </si>
  <si>
    <t>Centra kształcenia ustawicznego i praktyczego oraz ośrodki dokształcania zawodowego</t>
  </si>
  <si>
    <t>Centra kształcenia ustawicznegi i praktycznego</t>
  </si>
  <si>
    <t>Stołówki szkolne</t>
  </si>
  <si>
    <t>Biblioteki</t>
  </si>
  <si>
    <t>Nazwa</t>
  </si>
  <si>
    <t>Lp.</t>
  </si>
  <si>
    <t>Ośrodek Rehabilitacyjno-Edukacyjno-Wychowawczy w Kowalkach</t>
  </si>
  <si>
    <r>
      <t>Wykonanie dotacji podmiotowych
udzielone z budżetu Gminy/Powiatu</t>
    </r>
    <r>
      <rPr>
        <sz val="12"/>
        <rFont val="Times New (W1)"/>
        <family val="1"/>
      </rPr>
      <t xml:space="preserve"> ..............................
</t>
    </r>
    <r>
      <rPr>
        <b/>
        <sz val="12"/>
        <rFont val="Times New (W1)"/>
        <family val="1"/>
      </rPr>
      <t>w 2008 r.</t>
    </r>
  </si>
  <si>
    <t xml:space="preserve">udzielonych z budżetu Powiatu Białogardzkiego </t>
  </si>
  <si>
    <t>na zadania własne powiatu realizowane przez podmioty</t>
  </si>
  <si>
    <t>Nazwa zadania</t>
  </si>
  <si>
    <t>Dotacje dla innych powiatów na pokrycie kosztów utrzymania dzieci w z Powiatu Białogardzkiego w rodzianch zastępczych</t>
  </si>
  <si>
    <t xml:space="preserve">należące do sektora finansów publicznych </t>
  </si>
  <si>
    <t>Wpłaty Powiatu Białogardzkiego</t>
  </si>
  <si>
    <t>na wyodrębnione fundusze celowe</t>
  </si>
  <si>
    <t>Fundusz celowy</t>
  </si>
  <si>
    <t>1.</t>
  </si>
  <si>
    <t>2.</t>
  </si>
  <si>
    <t>3.</t>
  </si>
  <si>
    <t>0910</t>
  </si>
  <si>
    <t>0870</t>
  </si>
  <si>
    <t>0900</t>
  </si>
  <si>
    <t>Odsetki od nieterminowych wpłat z tytułu podatków i opłat</t>
  </si>
  <si>
    <t>Wpływy ze sprzedaży składników majątkowych</t>
  </si>
  <si>
    <t>Odsetki od dotacji wykorzystanych niezgodnie z przeznaczeniem lub pobranych w nadmiernej wysokości</t>
  </si>
  <si>
    <t>Dochody bieżące</t>
  </si>
  <si>
    <t>Dochody majątkowe</t>
  </si>
  <si>
    <t>Wykonanie- dochody bieżące</t>
  </si>
  <si>
    <t xml:space="preserve">§ </t>
  </si>
  <si>
    <t>Dotacje celowe otrzymane z budżetu państwa na realizacje inwestycji i zakupów inwestycyjnych własnych powiatu</t>
  </si>
  <si>
    <t>Ośrodki adopcyjno-opiekuńcze</t>
  </si>
  <si>
    <t>01095</t>
  </si>
  <si>
    <t>Drogi publiczne gminne</t>
  </si>
  <si>
    <t>Straż Graniczna</t>
  </si>
  <si>
    <t>Inne formy kształcenia osobno niewymienione</t>
  </si>
  <si>
    <t>Niepubliczna Szkoła Specjalna Przysposabiająca do Pracy w Kowalkach</t>
  </si>
  <si>
    <t>4.</t>
  </si>
  <si>
    <t>5.</t>
  </si>
  <si>
    <t>6.</t>
  </si>
  <si>
    <t>7.</t>
  </si>
  <si>
    <t>8.</t>
  </si>
  <si>
    <t>Wpływy z innych lokalnych opłat pobieranych przez jednostki samorządu terytorialnego na podstawie odrenych ustaw</t>
  </si>
  <si>
    <t>Dotacje celowe w ramach programów finansowanych z udziałem środków europejskich oraz środków, o których mowa w art.. 5 ust. 1 pkt 3 oraz ust. 3 pkt 5 i 6 ustwawy, lub płatności w ramach budżetu środków europejskich</t>
  </si>
  <si>
    <t>Wpływy ze zwrotów dotacji oraz płatności, w tym wykorzystanych niezgodnie z przeznaczeniem lub wykorzystanych z naruszeniem procedur, o których mowa w art.. 184 ustawy, pobranych nienależnie lub w nadmiernej wysokości</t>
  </si>
  <si>
    <t>Dotacje celowe otrzymane z powatu na inwestycje i zakupy inwestycyjne realizowane na podstawie porozumień między jednostkami samorządu terytorialnego</t>
  </si>
  <si>
    <t>Dotacje otrzymane z państwowych funduszy celowych na finansowanie lub dofinansowanie kosztów realizacji inwestycji i zakupów inwestycyjnych jednostek sektora finansów publicznych</t>
  </si>
  <si>
    <t>Dotacje celowe otrzymane z budżetu państwa na realizację inwestycji i zakupów inwestycyjnych własnych powiatu</t>
  </si>
  <si>
    <t>Wpływy i wydatki związane z gromadzeniem środków z opłat i kar za korzystanie ze środowiska</t>
  </si>
  <si>
    <t>Zadania w zakresie przeciwdziałania przemocy w rodzinie</t>
  </si>
  <si>
    <t>w I półroczu 2010 roku</t>
  </si>
  <si>
    <t>Wynagrodzenia i składki od nich naliczane</t>
  </si>
  <si>
    <t>Dotacje na zadania bieżące</t>
  </si>
  <si>
    <t>Wydatki na programy finansowane z udziałem środków, o których mowa w art.. 5 ust.1 pkt 2i 3 ustawy o fin.publ., w części zwiazanej z realizacją zadań</t>
  </si>
  <si>
    <t>Wydatki związane z realizacją zadań statutowych</t>
  </si>
  <si>
    <t>dochody bieżące</t>
  </si>
  <si>
    <t>dochody majątkowe</t>
  </si>
  <si>
    <t xml:space="preserve">Przychody i rozchody 
</t>
  </si>
  <si>
    <t>budżetu Powiatu Białogardzkiego</t>
  </si>
  <si>
    <t>Klasyfikacja
§</t>
  </si>
  <si>
    <t>Przychody ogółem:</t>
  </si>
  <si>
    <t>Kredyty</t>
  </si>
  <si>
    <t>§ 952</t>
  </si>
  <si>
    <t>Pożyczki</t>
  </si>
  <si>
    <t>§ 903</t>
  </si>
  <si>
    <t>Spłaty pożyczek udzielonych</t>
  </si>
  <si>
    <t>§ 951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</si>
  <si>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</si>
  <si>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</si>
  <si>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</si>
  <si>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</si>
  <si>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</si>
  <si>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</si>
  <si>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</si>
  <si>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</si>
  <si>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</si>
  <si>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</si>
  <si>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</si>
  <si>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</si>
  <si>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</si>
  <si>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</si>
  <si>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</si>
  <si>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</si>
  <si>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</si>
  <si>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</si>
  <si>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</si>
  <si>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</si>
  <si>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</si>
  <si>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</si>
  <si>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Pożyczki na finansowanie zadań realizowanych z udziałem środków pochodzących z budżetu UE</t>
  </si>
  <si>
    <t>Realizacja</t>
  </si>
  <si>
    <t>Tabela Nr 1</t>
  </si>
  <si>
    <t>Tabela Nr 3</t>
  </si>
  <si>
    <t>Tabela Nr 2</t>
  </si>
  <si>
    <t>Tabela Nr 4</t>
  </si>
  <si>
    <t>Według działów i rozdziałów klasyfikacji oraz ważniejszych źródeł:</t>
  </si>
  <si>
    <t>Nazwa instytucji lub zadania</t>
  </si>
  <si>
    <t>Prywatne Liceum Ogólnokształcące SCHOLAR dla Dorosłych po ZSZ</t>
  </si>
  <si>
    <t>Prywatne Liceum Ogólnokształcące SCHOLAR dla Dorosłych</t>
  </si>
  <si>
    <t>Prywatne Liceum Ogólnokształcące SCHOLAR - dla młodzieży</t>
  </si>
  <si>
    <t>Prywatne Liceum Ogólnokształcące dla Dorosłych</t>
  </si>
  <si>
    <t>Prywatne Uzupełniające Liceum Ogólnokształcące dla Dorosłych</t>
  </si>
  <si>
    <t>Prywatne Liceum Profilowane SCHOLAR dla Dorosłych</t>
  </si>
  <si>
    <t xml:space="preserve"> Dotacje  celowe udzielone z budżetu Powiatu Białogardzkiego</t>
  </si>
  <si>
    <t>Warsztaty Terapii Zajęciowej ISKIERKA w Karlinie</t>
  </si>
  <si>
    <t>Biblioteka Powiatowa</t>
  </si>
  <si>
    <t>2317, 2319</t>
  </si>
  <si>
    <t>Rodzina Razem - Miasto Białogard</t>
  </si>
  <si>
    <t>Rodzina Razem - Gmina Białogard</t>
  </si>
  <si>
    <t>Rodzina razem - Gmina Tychowo</t>
  </si>
  <si>
    <t>Rodzina Razem - Gmina Karlino</t>
  </si>
  <si>
    <t>Kwota przekazana</t>
  </si>
  <si>
    <t>Planowana dotacja</t>
  </si>
  <si>
    <t>Tabela Nr 5</t>
  </si>
  <si>
    <t>Dotacje dla innych powiatów na pokrycie kosztów utrzymania dzieci z Powiatu Białogardzkiego w placówkach opiekuńczo-wychowawczych</t>
  </si>
  <si>
    <t>Tabela Nr 6</t>
  </si>
  <si>
    <t>Fundusz Wsparcia Morskiego Oddziału Straży Granicznej</t>
  </si>
  <si>
    <t>Dofinansowanie zakupu paliwa do pojazdów służbowych</t>
  </si>
  <si>
    <t>Tabela Nr 8</t>
  </si>
  <si>
    <t>Dotacje celowe</t>
  </si>
  <si>
    <t>udzielone z budżetu Powiatu Białogardzkiego</t>
  </si>
  <si>
    <t>Dotacja dla Stowarzyszenia "SOS Wioski Dziecięce" w Karlinie na prowadzenie placówki opiekuńczo-wychowawczej</t>
  </si>
  <si>
    <t>Prowadzenie Domu Pomocy Społecznej w Białogardzie o zasięgu ponadgminnym (powiatowym) dla osób w podeszłym wieku i osób przewlekle somatycznie chorych - dotacja dla Stowarzyszenia Pomocy PRZYTULISKO w Białogardzie</t>
  </si>
  <si>
    <t>Upowszechnianie kultury fizycznej i sportu realizowane poprzez organizację imprez sportowych dla dzieci i młodzieży w Powiecie Białogardzkim</t>
  </si>
  <si>
    <t>Tabela Nr 7</t>
  </si>
  <si>
    <t>Tabela Nr 9</t>
  </si>
  <si>
    <t>Pomoc finansowa dla Gminy Karlino na zadanie p.n. "Budowa hali widowiskowo-sportowej w Karlinie"</t>
  </si>
  <si>
    <t>Tabela Nr 10</t>
  </si>
  <si>
    <t xml:space="preserve">nienależące do sektora finansów publicznych </t>
  </si>
  <si>
    <t xml:space="preserve">na pomoc finansową innym jednostkom samorządu terytorialnego </t>
  </si>
  <si>
    <t>Tabela Nr 11</t>
  </si>
  <si>
    <t>Tabela Nr 12</t>
  </si>
  <si>
    <t>Tabela Nr 13</t>
  </si>
  <si>
    <t>Kwalifikacja wojskowa</t>
  </si>
  <si>
    <t>Stołówki szkolne i przedszkolne</t>
  </si>
  <si>
    <t>Inspekcja sanitarna</t>
  </si>
  <si>
    <t>Gospodarka ściekowa i ochrona wód</t>
  </si>
  <si>
    <t>Ochrona zabytków i opieka nad zabytkami</t>
  </si>
  <si>
    <t>Środki z Funduszu Pracy otrzymane przez powiat z przeznaczeniem na finansowanie kosztów wynagrodzeń i składek na ubezpieczenia społeczne pracowników powiatowego urzędu pracy</t>
  </si>
  <si>
    <t>Dotacja celowa otrzymana z tytułu pomocy finansowej udzielanej między jednostkami samorządu terytorialnego na dofinansowanie własnych zadań bieżących</t>
  </si>
  <si>
    <t>Dotacja celowa otrzymana z tytułu pomocy finansowej udzielanej między jednostkami samorządu terytorialnego na dofinansowanie własnych zadań inwestycyjnych i zakupów inwestycyjnych</t>
  </si>
  <si>
    <t>Odsetki od dotacji oraz płatności: wykorzystanych niezgodnie z przeznaczeniem lub wykorzystanych z naruszeniem procedur, o których mowa w art.. 184 ustawy, pobranych nienależnie lub w nadmiernej wysokości</t>
  </si>
  <si>
    <t>Dotacje celowe w ramach programów finansowanych z udzialem środków europejskich oraz środków, o których mowa w art.. 5 ust. 1 pkt 3 oraz ust. 3 pkt 5 i 6 ustawy, lub płatności w ramach budżetu środków europejskich</t>
  </si>
  <si>
    <t>Środki na dofinansowanie własnych  inwestycji gmin, powiatów, samorządów województw, pozyskane z innych źródeł</t>
  </si>
  <si>
    <t>Dotacje celowe otrzymane z gminy na zadania realizowane na podstawie porozumień (umów) między jedmostkami samorzadu terytorialnego</t>
  </si>
  <si>
    <t>w I półroczu 2011 roku</t>
  </si>
  <si>
    <t>w I półroczu  2011 roku</t>
  </si>
  <si>
    <t>I Prywatne Liceum Ogólnokształcące (dla młodzieży)</t>
  </si>
  <si>
    <t>Wydatki majątkowe na inwestycje i zakupy inwestycyjne</t>
  </si>
  <si>
    <t>w tym wydatki na programy finansowane z udziałem środków, o których mowa w art.. 5 ust.1 pkt 2i 3 ustawy o fin.publ., w części zwiazanej z realizacją zadań</t>
  </si>
  <si>
    <t>Inwestycje i zakupy inwestycyjne</t>
  </si>
  <si>
    <t>Ochrona zabytkó∟w i opieka nad zabytkami</t>
  </si>
  <si>
    <t>Ratownictwo medyczne</t>
  </si>
  <si>
    <t>Rezerwy ogólne i celowe</t>
  </si>
  <si>
    <t>Komendy powiatowe Policji</t>
  </si>
  <si>
    <t>w 2011 r.</t>
  </si>
  <si>
    <t>w I półroczu 2011 r.</t>
  </si>
  <si>
    <t>Warsztaty Terapii Zajęciowej w Białogardzie</t>
  </si>
  <si>
    <t>Dotacja dla miasta Białogard na realizację porozumienia w sprawie zarządzania drogami</t>
  </si>
  <si>
    <t>Dotacja dla Szpitala Powiatowego w Białogardzie</t>
  </si>
  <si>
    <t>Dotacja dla Fundacji IBIS na prowadzenie Wielofunkcyjnej Placówki Opiekuńczo-Wychowawczej DORIAN</t>
  </si>
  <si>
    <t>Dotacja na roboty budowlane, remonty, modernizacje, konserwacje obiektów znajdujących się w ewidencjach zabytków lub wpisanych do rejestru zabytków</t>
  </si>
  <si>
    <t>Pomoc finansowa dla Gminy Tychowo na zadanie pn. "Przebudowa gminnych gróg dojazdowych, w tym przebudowa ulicy Ogrodowej, ulicy Targowej, ulic Kochanowskiego-Słowackiego i ulicy Dolnej w Tychowie oraz drogi gminnej relacji Dobrowo-Dobrówko"</t>
  </si>
  <si>
    <t>Pomoc finansowa dla Powiatu Koszalińskiego na uruchomienie bazy Lotniczego Pogotowia Ratunkowego na lotnisku w Zegrzu Pomorskim</t>
  </si>
  <si>
    <t>Dodatkowe służby policjantów na terenie Powiatu Białogardzkiego</t>
  </si>
  <si>
    <t>Fundusz Wsparcia Policji</t>
  </si>
  <si>
    <t>Zwroty dotacji</t>
  </si>
  <si>
    <t>otrzymanych w latach poprzednich</t>
  </si>
  <si>
    <t>Dotujący</t>
  </si>
  <si>
    <t>Przeznaczenie dotacji</t>
  </si>
  <si>
    <t>Dofinansowanie budowy kompleksu boisk sportowych w ramach programu "Moej Boisko-Orlik 2012" przy Młodzieżowym Ośrodku Wychowawczym w Podborsku</t>
  </si>
  <si>
    <t>Minister Sportu i Turystyki</t>
  </si>
  <si>
    <t>na podstawie porozumień</t>
  </si>
  <si>
    <t>Dotacja dla miasta Białogard na realizację porozumienia w sprawie wspólnej inwewstycji dotyczącej dróg powiatowych i gminnych</t>
  </si>
  <si>
    <t>przekazane z budżetu Powiatu Białogardzkiego</t>
  </si>
  <si>
    <t xml:space="preserve"> Dotacje  celowe na inwestycje</t>
  </si>
  <si>
    <t>Tabela Nr 14</t>
  </si>
  <si>
    <t>z tego</t>
  </si>
  <si>
    <t xml:space="preserve"> z tytułu dotacji na finansowanie wydatków na realizacje zadań finansowanych z udziałem śodków, o których mowa w art. 5 ust. 1 pkt 2 i 3 </t>
  </si>
  <si>
    <t>Środki z Funduszu Pracy otrzymane przez powiat z przeznacz. na finansowanie kosztów wynagrodzeń i składek na ubezpieczenia społeczne pracowników powiatowego urzędu pracy</t>
  </si>
  <si>
    <t>Świadczenia na rzecz osób fizycznych</t>
  </si>
</sst>
</file>

<file path=xl/styles.xml><?xml version="1.0" encoding="utf-8"?>
<styleSheet xmlns="http://schemas.openxmlformats.org/spreadsheetml/2006/main">
  <numFmts count="7">
    <numFmt numFmtId="43" formatCode="_-* #,##0.00\ _z_ł_-;\-* #,##0.00\ _z_ł_-;_-* &quot;-&quot;??\ _z_ł_-;_-@_-"/>
    <numFmt numFmtId="164" formatCode="_-* #,##0.0\ _z_ł_-;\-* #,##0.0\ _z_ł_-;_-* &quot;-&quot;??\ _z_ł_-;_-@_-"/>
    <numFmt numFmtId="165" formatCode="_-* #,##0\ _z_ł_-;\-* #,##0\ _z_ł_-;_-* &quot;-&quot;??\ _z_ł_-;_-@_-"/>
    <numFmt numFmtId="166" formatCode="0.0"/>
    <numFmt numFmtId="167" formatCode="#,##0.0_ ;\-#,##0.0\ "/>
    <numFmt numFmtId="168" formatCode="#,##0.00_ ;\-#,##0.00\ "/>
    <numFmt numFmtId="169" formatCode="#,##0.0"/>
  </numFmts>
  <fonts count="46">
    <font>
      <sz val="10"/>
      <name val="Arial CE"/>
      <charset val="238"/>
    </font>
    <font>
      <sz val="10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b/>
      <sz val="10"/>
      <name val="Arial CE"/>
      <charset val="238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(W1)"/>
      <family val="1"/>
    </font>
    <font>
      <sz val="8"/>
      <name val="Times New (W1)"/>
      <family val="1"/>
    </font>
    <font>
      <b/>
      <sz val="10"/>
      <name val="Times New (W1)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Times New (W1)"/>
      <family val="1"/>
    </font>
    <font>
      <sz val="9"/>
      <name val="Arial CE"/>
      <charset val="238"/>
    </font>
    <font>
      <sz val="8"/>
      <name val="Arial CE"/>
      <charset val="238"/>
    </font>
    <font>
      <b/>
      <sz val="9"/>
      <name val="Times New (W1)"/>
      <family val="1"/>
    </font>
    <font>
      <sz val="7"/>
      <name val="Times New (W1)"/>
      <family val="1"/>
    </font>
    <font>
      <b/>
      <sz val="12"/>
      <name val="Times New (W1)"/>
      <family val="1"/>
    </font>
    <font>
      <sz val="12"/>
      <name val="Times New (W1)"/>
      <family val="1"/>
    </font>
    <font>
      <b/>
      <sz val="8"/>
      <name val="Times New (W1)"/>
      <family val="1"/>
    </font>
    <font>
      <sz val="7"/>
      <name val="Arial CE"/>
      <charset val="238"/>
    </font>
    <font>
      <sz val="7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  <charset val="238"/>
    </font>
    <font>
      <b/>
      <sz val="11"/>
      <name val="Times New Roman"/>
      <family val="1"/>
    </font>
    <font>
      <sz val="6"/>
      <name val="Times New (W1)"/>
      <family val="1"/>
    </font>
    <font>
      <i/>
      <u/>
      <sz val="8"/>
      <name val="Times New (W1)"/>
      <family val="1"/>
    </font>
    <font>
      <b/>
      <sz val="8"/>
      <name val="Times New Roman"/>
      <family val="1"/>
      <charset val="238"/>
    </font>
    <font>
      <b/>
      <sz val="7"/>
      <name val="Times New Roman"/>
      <family val="1"/>
    </font>
    <font>
      <b/>
      <sz val="7"/>
      <name val="Times New (W1)"/>
      <family val="1"/>
    </font>
    <font>
      <b/>
      <sz val="12"/>
      <name val="Times New Roman"/>
      <family val="1"/>
    </font>
    <font>
      <sz val="9"/>
      <name val="Times New Roman"/>
      <family val="1"/>
      <charset val="238"/>
    </font>
    <font>
      <sz val="6"/>
      <name val="Times New Roman"/>
      <family val="1"/>
    </font>
    <font>
      <sz val="10"/>
      <color indexed="10"/>
      <name val="Arial"/>
      <family val="2"/>
      <charset val="238"/>
    </font>
    <font>
      <sz val="11"/>
      <name val="Calibri"/>
      <family val="2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6"/>
      <name val="Times New Roman"/>
      <family val="1"/>
      <charset val="238"/>
    </font>
    <font>
      <sz val="10"/>
      <name val="Times New Roman"/>
      <family val="1"/>
      <charset val="238"/>
    </font>
    <font>
      <sz val="7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9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4" fillId="0" borderId="0" xfId="0" applyFont="1"/>
    <xf numFmtId="0" fontId="2" fillId="0" borderId="1" xfId="0" applyFont="1" applyBorder="1" applyAlignment="1">
      <alignment horizontal="left" vertical="top" wrapText="1"/>
    </xf>
    <xf numFmtId="165" fontId="2" fillId="0" borderId="1" xfId="1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wrapText="1"/>
    </xf>
    <xf numFmtId="49" fontId="2" fillId="0" borderId="1" xfId="0" applyNumberFormat="1" applyFont="1" applyBorder="1"/>
    <xf numFmtId="0" fontId="5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center"/>
    </xf>
    <xf numFmtId="165" fontId="2" fillId="0" borderId="1" xfId="1" applyNumberFormat="1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165" fontId="5" fillId="0" borderId="1" xfId="1" applyNumberFormat="1" applyFont="1" applyBorder="1"/>
    <xf numFmtId="0" fontId="2" fillId="0" borderId="3" xfId="0" quotePrefix="1" applyFont="1" applyBorder="1" applyAlignment="1">
      <alignment horizontal="center"/>
    </xf>
    <xf numFmtId="165" fontId="5" fillId="0" borderId="1" xfId="1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165" fontId="2" fillId="0" borderId="1" xfId="1" applyNumberFormat="1" applyFont="1" applyFill="1" applyBorder="1"/>
    <xf numFmtId="0" fontId="5" fillId="0" borderId="1" xfId="0" applyFont="1" applyBorder="1"/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5" fontId="0" fillId="0" borderId="0" xfId="0" applyNumberFormat="1"/>
    <xf numFmtId="165" fontId="3" fillId="0" borderId="0" xfId="0" applyNumberFormat="1" applyFont="1"/>
    <xf numFmtId="165" fontId="5" fillId="0" borderId="0" xfId="1" applyNumberFormat="1" applyFont="1"/>
    <xf numFmtId="165" fontId="6" fillId="0" borderId="0" xfId="0" applyNumberFormat="1" applyFont="1"/>
    <xf numFmtId="165" fontId="2" fillId="0" borderId="2" xfId="1" applyNumberFormat="1" applyFont="1" applyBorder="1"/>
    <xf numFmtId="165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43" fontId="2" fillId="0" borderId="1" xfId="1" applyNumberFormat="1" applyFont="1" applyBorder="1" applyAlignment="1">
      <alignment horizontal="center"/>
    </xf>
    <xf numFmtId="43" fontId="0" fillId="0" borderId="0" xfId="0" applyNumberFormat="1"/>
    <xf numFmtId="165" fontId="8" fillId="0" borderId="0" xfId="0" applyNumberFormat="1" applyFont="1"/>
    <xf numFmtId="0" fontId="8" fillId="0" borderId="0" xfId="0" applyFont="1"/>
    <xf numFmtId="0" fontId="9" fillId="0" borderId="0" xfId="0" applyFont="1"/>
    <xf numFmtId="0" fontId="9" fillId="0" borderId="0" xfId="0" applyFont="1" applyFill="1"/>
    <xf numFmtId="0" fontId="11" fillId="0" borderId="0" xfId="0" applyFont="1"/>
    <xf numFmtId="0" fontId="12" fillId="0" borderId="1" xfId="0" applyFont="1" applyBorder="1" applyAlignment="1">
      <alignment horizontal="center"/>
    </xf>
    <xf numFmtId="166" fontId="11" fillId="0" borderId="1" xfId="0" applyNumberFormat="1" applyFont="1" applyBorder="1"/>
    <xf numFmtId="165" fontId="5" fillId="0" borderId="0" xfId="0" applyNumberFormat="1" applyFont="1"/>
    <xf numFmtId="0" fontId="5" fillId="0" borderId="0" xfId="0" applyFont="1"/>
    <xf numFmtId="0" fontId="15" fillId="0" borderId="1" xfId="0" applyFont="1" applyBorder="1" applyAlignment="1">
      <alignment horizontal="center"/>
    </xf>
    <xf numFmtId="0" fontId="14" fillId="0" borderId="1" xfId="0" quotePrefix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16" fillId="0" borderId="1" xfId="0" quotePrefix="1" applyFont="1" applyBorder="1" applyAlignment="1">
      <alignment horizontal="center"/>
    </xf>
    <xf numFmtId="165" fontId="16" fillId="0" borderId="1" xfId="1" applyNumberFormat="1" applyFont="1" applyBorder="1" applyAlignment="1">
      <alignment horizontal="left"/>
    </xf>
    <xf numFmtId="0" fontId="1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5" fontId="14" fillId="0" borderId="1" xfId="1" applyNumberFormat="1" applyFont="1" applyBorder="1" applyAlignment="1">
      <alignment horizontal="left"/>
    </xf>
    <xf numFmtId="0" fontId="14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1" xfId="0" applyFont="1" applyBorder="1"/>
    <xf numFmtId="49" fontId="16" fillId="0" borderId="1" xfId="0" applyNumberFormat="1" applyFont="1" applyBorder="1"/>
    <xf numFmtId="0" fontId="17" fillId="0" borderId="1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18" fillId="0" borderId="0" xfId="0" applyNumberFormat="1" applyFont="1"/>
    <xf numFmtId="0" fontId="18" fillId="0" borderId="0" xfId="0" applyFont="1"/>
    <xf numFmtId="0" fontId="15" fillId="0" borderId="6" xfId="0" applyFont="1" applyBorder="1"/>
    <xf numFmtId="0" fontId="15" fillId="0" borderId="3" xfId="0" applyFont="1" applyBorder="1"/>
    <xf numFmtId="2" fontId="14" fillId="0" borderId="1" xfId="1" applyNumberFormat="1" applyFont="1" applyBorder="1"/>
    <xf numFmtId="2" fontId="16" fillId="0" borderId="1" xfId="1" applyNumberFormat="1" applyFont="1" applyFill="1" applyBorder="1"/>
    <xf numFmtId="2" fontId="16" fillId="0" borderId="1" xfId="1" applyNumberFormat="1" applyFont="1" applyBorder="1"/>
    <xf numFmtId="2" fontId="16" fillId="0" borderId="8" xfId="1" applyNumberFormat="1" applyFont="1" applyBorder="1"/>
    <xf numFmtId="2" fontId="14" fillId="0" borderId="8" xfId="1" applyNumberFormat="1" applyFont="1" applyBorder="1"/>
    <xf numFmtId="0" fontId="17" fillId="0" borderId="1" xfId="0" quotePrefix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0" xfId="0" applyFont="1"/>
    <xf numFmtId="0" fontId="20" fillId="0" borderId="1" xfId="0" applyFont="1" applyBorder="1" applyAlignment="1">
      <alignment horizontal="center"/>
    </xf>
    <xf numFmtId="43" fontId="20" fillId="0" borderId="1" xfId="1" applyNumberFormat="1" applyFont="1" applyBorder="1"/>
    <xf numFmtId="164" fontId="20" fillId="0" borderId="1" xfId="1" applyNumberFormat="1" applyFont="1" applyBorder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/>
    </xf>
    <xf numFmtId="43" fontId="17" fillId="0" borderId="1" xfId="1" applyNumberFormat="1" applyFont="1" applyBorder="1"/>
    <xf numFmtId="164" fontId="17" fillId="0" borderId="1" xfId="1" applyNumberFormat="1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9" fillId="0" borderId="0" xfId="0" applyFont="1"/>
    <xf numFmtId="0" fontId="20" fillId="0" borderId="1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center" vertical="center"/>
    </xf>
    <xf numFmtId="0" fontId="24" fillId="0" borderId="0" xfId="0" applyFont="1"/>
    <xf numFmtId="0" fontId="20" fillId="0" borderId="0" xfId="0" applyFont="1"/>
    <xf numFmtId="165" fontId="17" fillId="0" borderId="1" xfId="1" applyNumberFormat="1" applyFont="1" applyBorder="1"/>
    <xf numFmtId="165" fontId="20" fillId="0" borderId="1" xfId="1" applyNumberFormat="1" applyFont="1" applyBorder="1"/>
    <xf numFmtId="0" fontId="17" fillId="0" borderId="3" xfId="0" quotePrefix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quotePrefix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65" fontId="2" fillId="0" borderId="0" xfId="1" applyNumberFormat="1" applyFont="1" applyBorder="1"/>
    <xf numFmtId="0" fontId="5" fillId="0" borderId="3" xfId="0" quotePrefix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0" borderId="1" xfId="0" quotePrefix="1" applyFont="1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/>
    </xf>
    <xf numFmtId="0" fontId="28" fillId="0" borderId="1" xfId="0" applyFont="1" applyBorder="1" applyAlignment="1">
      <alignment horizontal="left" vertical="top" wrapText="1"/>
    </xf>
    <xf numFmtId="0" fontId="15" fillId="0" borderId="1" xfId="0" applyFont="1" applyBorder="1"/>
    <xf numFmtId="0" fontId="1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6" fontId="13" fillId="0" borderId="1" xfId="0" applyNumberFormat="1" applyFont="1" applyBorder="1"/>
    <xf numFmtId="0" fontId="31" fillId="0" borderId="0" xfId="0" applyFont="1" applyAlignment="1">
      <alignment horizontal="right"/>
    </xf>
    <xf numFmtId="0" fontId="30" fillId="0" borderId="1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right"/>
    </xf>
    <xf numFmtId="43" fontId="14" fillId="0" borderId="1" xfId="1" applyFont="1" applyBorder="1"/>
    <xf numFmtId="43" fontId="16" fillId="0" borderId="1" xfId="1" applyFont="1" applyFill="1" applyBorder="1"/>
    <xf numFmtId="43" fontId="14" fillId="0" borderId="8" xfId="1" applyFont="1" applyBorder="1"/>
    <xf numFmtId="43" fontId="14" fillId="0" borderId="1" xfId="1" applyFont="1" applyBorder="1" applyAlignment="1">
      <alignment horizontal="center"/>
    </xf>
    <xf numFmtId="43" fontId="16" fillId="0" borderId="1" xfId="1" applyFont="1" applyBorder="1" applyAlignment="1">
      <alignment horizontal="center"/>
    </xf>
    <xf numFmtId="0" fontId="0" fillId="0" borderId="1" xfId="0" applyBorder="1"/>
    <xf numFmtId="166" fontId="11" fillId="0" borderId="1" xfId="0" applyNumberFormat="1" applyFont="1" applyFill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7" fillId="2" borderId="1" xfId="0" quotePrefix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left"/>
    </xf>
    <xf numFmtId="0" fontId="15" fillId="0" borderId="1" xfId="0" quotePrefix="1" applyFont="1" applyBorder="1" applyAlignment="1">
      <alignment horizontal="center" vertical="center"/>
    </xf>
    <xf numFmtId="0" fontId="27" fillId="2" borderId="1" xfId="0" quotePrefix="1" applyFont="1" applyFill="1" applyBorder="1" applyAlignment="1">
      <alignment horizontal="center" vertical="center"/>
    </xf>
    <xf numFmtId="0" fontId="27" fillId="2" borderId="1" xfId="0" applyFont="1" applyFill="1" applyBorder="1"/>
    <xf numFmtId="0" fontId="27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wrapText="1"/>
    </xf>
    <xf numFmtId="0" fontId="27" fillId="2" borderId="2" xfId="0" applyFont="1" applyFill="1" applyBorder="1" applyAlignment="1">
      <alignment horizontal="center" vertical="center"/>
    </xf>
    <xf numFmtId="0" fontId="28" fillId="0" borderId="12" xfId="0" quotePrefix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 vertical="top" wrapText="1"/>
    </xf>
    <xf numFmtId="0" fontId="15" fillId="0" borderId="3" xfId="0" quotePrefix="1" applyFont="1" applyBorder="1" applyAlignment="1">
      <alignment horizontal="center" vertical="center"/>
    </xf>
    <xf numFmtId="0" fontId="15" fillId="0" borderId="12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0" fontId="27" fillId="2" borderId="4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28" fillId="0" borderId="1" xfId="0" quotePrefix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 vertical="top" wrapText="1"/>
    </xf>
    <xf numFmtId="43" fontId="0" fillId="0" borderId="0" xfId="1" applyFont="1"/>
    <xf numFmtId="0" fontId="12" fillId="0" borderId="1" xfId="0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165" fontId="12" fillId="0" borderId="0" xfId="1" applyNumberFormat="1" applyFont="1" applyFill="1" applyBorder="1" applyAlignment="1">
      <alignment horizontal="right"/>
    </xf>
    <xf numFmtId="43" fontId="12" fillId="0" borderId="0" xfId="1" applyFont="1" applyFill="1" applyBorder="1" applyAlignment="1">
      <alignment horizontal="right"/>
    </xf>
    <xf numFmtId="43" fontId="12" fillId="0" borderId="0" xfId="0" applyNumberFormat="1" applyFont="1"/>
    <xf numFmtId="0" fontId="11" fillId="0" borderId="0" xfId="0" applyFont="1" applyAlignment="1">
      <alignment horizontal="right"/>
    </xf>
    <xf numFmtId="166" fontId="12" fillId="0" borderId="1" xfId="0" applyNumberFormat="1" applyFont="1" applyBorder="1"/>
    <xf numFmtId="0" fontId="25" fillId="0" borderId="1" xfId="0" applyFont="1" applyBorder="1" applyAlignment="1">
      <alignment horizontal="center"/>
    </xf>
    <xf numFmtId="0" fontId="12" fillId="3" borderId="1" xfId="0" quotePrefix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top" wrapText="1"/>
    </xf>
    <xf numFmtId="166" fontId="12" fillId="0" borderId="0" xfId="0" applyNumberFormat="1" applyFont="1" applyBorder="1"/>
    <xf numFmtId="0" fontId="15" fillId="0" borderId="1" xfId="0" applyFont="1" applyBorder="1" applyAlignment="1">
      <alignment horizontal="left" wrapText="1"/>
    </xf>
    <xf numFmtId="43" fontId="15" fillId="0" borderId="1" xfId="1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1" fillId="0" borderId="0" xfId="0" applyFont="1"/>
    <xf numFmtId="0" fontId="12" fillId="0" borderId="1" xfId="0" quotePrefix="1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11" fillId="0" borderId="0" xfId="0" applyFont="1"/>
    <xf numFmtId="0" fontId="27" fillId="0" borderId="1" xfId="0" applyFont="1" applyBorder="1" applyAlignment="1">
      <alignment vertical="top" wrapText="1"/>
    </xf>
    <xf numFmtId="0" fontId="28" fillId="0" borderId="1" xfId="0" applyFont="1" applyBorder="1" applyAlignment="1">
      <alignment vertical="top" wrapText="1"/>
    </xf>
    <xf numFmtId="0" fontId="27" fillId="0" borderId="1" xfId="0" applyFont="1" applyBorder="1" applyAlignment="1">
      <alignment horizontal="center" vertical="center"/>
    </xf>
    <xf numFmtId="0" fontId="27" fillId="0" borderId="1" xfId="0" quotePrefix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65" fontId="13" fillId="0" borderId="0" xfId="1" applyNumberFormat="1" applyFont="1" applyBorder="1" applyAlignment="1">
      <alignment vertical="center"/>
    </xf>
    <xf numFmtId="43" fontId="13" fillId="0" borderId="0" xfId="0" applyNumberFormat="1" applyFont="1" applyBorder="1"/>
    <xf numFmtId="166" fontId="13" fillId="0" borderId="0" xfId="0" applyNumberFormat="1" applyFont="1" applyFill="1" applyBorder="1"/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3" fontId="9" fillId="0" borderId="0" xfId="0" applyNumberFormat="1" applyFont="1" applyFill="1"/>
    <xf numFmtId="43" fontId="0" fillId="0" borderId="0" xfId="0" applyNumberFormat="1" applyFill="1"/>
    <xf numFmtId="43" fontId="21" fillId="0" borderId="0" xfId="0" applyNumberFormat="1" applyFont="1" applyFill="1"/>
    <xf numFmtId="0" fontId="32" fillId="0" borderId="1" xfId="0" quotePrefix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8" fillId="0" borderId="1" xfId="0" applyFont="1" applyFill="1" applyBorder="1"/>
    <xf numFmtId="0" fontId="15" fillId="0" borderId="1" xfId="0" applyNumberFormat="1" applyFont="1" applyFill="1" applyBorder="1" applyAlignment="1">
      <alignment horizontal="center"/>
    </xf>
    <xf numFmtId="168" fontId="27" fillId="2" borderId="1" xfId="1" applyNumberFormat="1" applyFont="1" applyFill="1" applyBorder="1" applyAlignment="1">
      <alignment horizontal="right" vertical="center"/>
    </xf>
    <xf numFmtId="168" fontId="15" fillId="0" borderId="1" xfId="1" applyNumberFormat="1" applyFont="1" applyFill="1" applyBorder="1" applyAlignment="1">
      <alignment horizontal="right" vertical="center"/>
    </xf>
    <xf numFmtId="168" fontId="28" fillId="0" borderId="4" xfId="1" applyNumberFormat="1" applyFont="1" applyFill="1" applyBorder="1" applyAlignment="1">
      <alignment horizontal="right" vertical="center"/>
    </xf>
    <xf numFmtId="168" fontId="15" fillId="0" borderId="4" xfId="1" applyNumberFormat="1" applyFont="1" applyFill="1" applyBorder="1" applyAlignment="1">
      <alignment horizontal="right" vertical="center"/>
    </xf>
    <xf numFmtId="168" fontId="32" fillId="0" borderId="1" xfId="1" applyNumberFormat="1" applyFont="1" applyFill="1" applyBorder="1" applyAlignment="1">
      <alignment horizontal="right" vertical="center"/>
    </xf>
    <xf numFmtId="168" fontId="28" fillId="0" borderId="1" xfId="1" applyNumberFormat="1" applyFont="1" applyFill="1" applyBorder="1" applyAlignment="1">
      <alignment horizontal="right" vertical="center"/>
    </xf>
    <xf numFmtId="168" fontId="27" fillId="2" borderId="1" xfId="1" applyNumberFormat="1" applyFont="1" applyFill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4" fontId="27" fillId="2" borderId="1" xfId="1" applyNumberFormat="1" applyFont="1" applyFill="1" applyBorder="1" applyAlignment="1">
      <alignment horizontal="right" vertical="center"/>
    </xf>
    <xf numFmtId="4" fontId="15" fillId="0" borderId="1" xfId="1" applyNumberFormat="1" applyFont="1" applyFill="1" applyBorder="1" applyAlignment="1">
      <alignment horizontal="right" vertical="center"/>
    </xf>
    <xf numFmtId="4" fontId="28" fillId="0" borderId="4" xfId="1" applyNumberFormat="1" applyFont="1" applyFill="1" applyBorder="1" applyAlignment="1">
      <alignment horizontal="right" vertical="center"/>
    </xf>
    <xf numFmtId="4" fontId="15" fillId="0" borderId="4" xfId="1" applyNumberFormat="1" applyFont="1" applyFill="1" applyBorder="1" applyAlignment="1">
      <alignment horizontal="right" vertical="center"/>
    </xf>
    <xf numFmtId="4" fontId="32" fillId="0" borderId="1" xfId="1" applyNumberFormat="1" applyFont="1" applyFill="1" applyBorder="1" applyAlignment="1">
      <alignment horizontal="right" vertical="center"/>
    </xf>
    <xf numFmtId="4" fontId="28" fillId="0" borderId="1" xfId="1" applyNumberFormat="1" applyFont="1" applyFill="1" applyBorder="1" applyAlignment="1">
      <alignment horizontal="right" vertical="center"/>
    </xf>
    <xf numFmtId="4" fontId="0" fillId="0" borderId="0" xfId="0" applyNumberFormat="1" applyFill="1"/>
    <xf numFmtId="4" fontId="15" fillId="0" borderId="10" xfId="1" applyNumberFormat="1" applyFont="1" applyBorder="1" applyAlignment="1">
      <alignment vertical="center"/>
    </xf>
    <xf numFmtId="0" fontId="37" fillId="0" borderId="2" xfId="0" applyFont="1" applyBorder="1" applyAlignment="1">
      <alignment vertical="top" wrapText="1"/>
    </xf>
    <xf numFmtId="4" fontId="0" fillId="0" borderId="0" xfId="0" applyNumberFormat="1"/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top" wrapText="1"/>
    </xf>
    <xf numFmtId="0" fontId="28" fillId="0" borderId="1" xfId="0" quotePrefix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1" fillId="0" borderId="0" xfId="0" applyFont="1"/>
    <xf numFmtId="0" fontId="1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4" fontId="17" fillId="0" borderId="1" xfId="1" applyNumberFormat="1" applyFont="1" applyBorder="1" applyAlignment="1">
      <alignment horizontal="right"/>
    </xf>
    <xf numFmtId="167" fontId="21" fillId="0" borderId="1" xfId="1" applyNumberFormat="1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49" fontId="12" fillId="0" borderId="1" xfId="0" applyNumberFormat="1" applyFont="1" applyBorder="1"/>
    <xf numFmtId="4" fontId="27" fillId="0" borderId="1" xfId="0" applyNumberFormat="1" applyFont="1" applyBorder="1" applyAlignment="1">
      <alignment horizontal="right"/>
    </xf>
    <xf numFmtId="4" fontId="27" fillId="0" borderId="1" xfId="1" applyNumberFormat="1" applyFont="1" applyBorder="1" applyAlignment="1">
      <alignment horizontal="right"/>
    </xf>
    <xf numFmtId="4" fontId="27" fillId="0" borderId="8" xfId="1" applyNumberFormat="1" applyFont="1" applyBorder="1" applyAlignment="1">
      <alignment horizontal="right"/>
    </xf>
    <xf numFmtId="4" fontId="15" fillId="0" borderId="1" xfId="1" applyNumberFormat="1" applyFont="1" applyBorder="1" applyAlignment="1">
      <alignment horizontal="right"/>
    </xf>
    <xf numFmtId="4" fontId="15" fillId="0" borderId="8" xfId="1" applyNumberFormat="1" applyFont="1" applyBorder="1" applyAlignment="1">
      <alignment horizontal="right"/>
    </xf>
    <xf numFmtId="4" fontId="15" fillId="0" borderId="1" xfId="1" applyNumberFormat="1" applyFont="1" applyFill="1" applyBorder="1" applyAlignment="1">
      <alignment horizontal="right"/>
    </xf>
    <xf numFmtId="167" fontId="27" fillId="0" borderId="1" xfId="1" applyNumberFormat="1" applyFont="1" applyBorder="1" applyAlignment="1">
      <alignment horizontal="right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right" vertical="top" wrapText="1"/>
    </xf>
    <xf numFmtId="0" fontId="16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43" fontId="9" fillId="0" borderId="14" xfId="1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43" fontId="9" fillId="0" borderId="17" xfId="1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43" fontId="9" fillId="0" borderId="18" xfId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8" fillId="0" borderId="0" xfId="0" applyFont="1"/>
    <xf numFmtId="0" fontId="38" fillId="0" borderId="0" xfId="0" applyFont="1" applyAlignment="1">
      <alignment vertical="center"/>
    </xf>
    <xf numFmtId="43" fontId="9" fillId="0" borderId="14" xfId="1" applyFont="1" applyBorder="1" applyAlignment="1">
      <alignment horizontal="center" vertical="center"/>
    </xf>
    <xf numFmtId="43" fontId="9" fillId="0" borderId="17" xfId="1" applyFont="1" applyBorder="1" applyAlignment="1">
      <alignment horizontal="center" vertical="center"/>
    </xf>
    <xf numFmtId="43" fontId="9" fillId="0" borderId="18" xfId="1" applyFont="1" applyBorder="1" applyAlignment="1">
      <alignment horizontal="center" vertical="center"/>
    </xf>
    <xf numFmtId="43" fontId="9" fillId="0" borderId="1" xfId="1" applyFont="1" applyBorder="1" applyAlignment="1">
      <alignment horizontal="center" vertical="center"/>
    </xf>
    <xf numFmtId="43" fontId="9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40" fillId="0" borderId="0" xfId="0" applyFont="1"/>
    <xf numFmtId="0" fontId="41" fillId="0" borderId="0" xfId="0" applyFont="1" applyAlignment="1">
      <alignment horizontal="center" wrapText="1"/>
    </xf>
    <xf numFmtId="0" fontId="39" fillId="0" borderId="0" xfId="0" applyFont="1" applyAlignment="1">
      <alignment wrapText="1"/>
    </xf>
    <xf numFmtId="0" fontId="28" fillId="0" borderId="0" xfId="0" applyFont="1" applyAlignment="1">
      <alignment horizontal="right"/>
    </xf>
    <xf numFmtId="0" fontId="43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4" fillId="0" borderId="1" xfId="0" applyFont="1" applyBorder="1" applyAlignment="1">
      <alignment wrapText="1"/>
    </xf>
    <xf numFmtId="0" fontId="42" fillId="2" borderId="1" xfId="0" applyFont="1" applyFill="1" applyBorder="1" applyAlignment="1">
      <alignment horizontal="center"/>
    </xf>
    <xf numFmtId="0" fontId="42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168" fontId="11" fillId="0" borderId="1" xfId="1" applyNumberFormat="1" applyFont="1" applyBorder="1"/>
    <xf numFmtId="4" fontId="44" fillId="0" borderId="1" xfId="0" applyNumberFormat="1" applyFont="1" applyBorder="1"/>
    <xf numFmtId="4" fontId="42" fillId="0" borderId="1" xfId="0" applyNumberFormat="1" applyFont="1" applyBorder="1"/>
    <xf numFmtId="168" fontId="13" fillId="0" borderId="1" xfId="1" applyNumberFormat="1" applyFont="1" applyBorder="1"/>
    <xf numFmtId="0" fontId="13" fillId="2" borderId="1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/>
    </xf>
    <xf numFmtId="169" fontId="26" fillId="0" borderId="1" xfId="1" applyNumberFormat="1" applyFont="1" applyBorder="1" applyAlignment="1">
      <alignment horizontal="center"/>
    </xf>
    <xf numFmtId="166" fontId="13" fillId="0" borderId="1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168" fontId="9" fillId="0" borderId="1" xfId="1" applyNumberFormat="1" applyFont="1" applyBorder="1"/>
    <xf numFmtId="168" fontId="42" fillId="0" borderId="1" xfId="0" applyNumberFormat="1" applyFont="1" applyBorder="1" applyAlignment="1">
      <alignment vertical="center"/>
    </xf>
    <xf numFmtId="168" fontId="11" fillId="0" borderId="1" xfId="0" applyNumberFormat="1" applyFont="1" applyBorder="1"/>
    <xf numFmtId="168" fontId="13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168" fontId="9" fillId="0" borderId="2" xfId="1" applyNumberFormat="1" applyFont="1" applyBorder="1" applyAlignment="1">
      <alignment horizontal="right" vertical="center"/>
    </xf>
    <xf numFmtId="168" fontId="9" fillId="0" borderId="2" xfId="1" applyNumberFormat="1" applyFont="1" applyBorder="1" applyAlignment="1">
      <alignment horizontal="right"/>
    </xf>
    <xf numFmtId="168" fontId="9" fillId="0" borderId="1" xfId="1" applyNumberFormat="1" applyFont="1" applyBorder="1" applyAlignment="1">
      <alignment horizontal="right"/>
    </xf>
    <xf numFmtId="168" fontId="42" fillId="0" borderId="1" xfId="0" applyNumberFormat="1" applyFont="1" applyBorder="1" applyAlignment="1">
      <alignment horizontal="right" vertical="center"/>
    </xf>
    <xf numFmtId="167" fontId="28" fillId="0" borderId="1" xfId="1" applyNumberFormat="1" applyFont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" fontId="15" fillId="0" borderId="1" xfId="1" applyNumberFormat="1" applyFont="1" applyBorder="1" applyAlignment="1">
      <alignment vertical="center"/>
    </xf>
    <xf numFmtId="4" fontId="12" fillId="0" borderId="1" xfId="0" applyNumberFormat="1" applyFont="1" applyBorder="1"/>
    <xf numFmtId="49" fontId="15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vertical="center"/>
    </xf>
    <xf numFmtId="167" fontId="33" fillId="2" borderId="1" xfId="1" applyNumberFormat="1" applyFont="1" applyFill="1" applyBorder="1" applyAlignment="1">
      <alignment horizontal="right" vertical="center"/>
    </xf>
    <xf numFmtId="167" fontId="26" fillId="0" borderId="1" xfId="1" applyNumberFormat="1" applyFont="1" applyBorder="1" applyAlignment="1">
      <alignment horizontal="right" vertical="center"/>
    </xf>
    <xf numFmtId="167" fontId="26" fillId="2" borderId="1" xfId="1" applyNumberFormat="1" applyFont="1" applyFill="1" applyBorder="1" applyAlignment="1">
      <alignment horizontal="right" vertical="center"/>
    </xf>
    <xf numFmtId="167" fontId="45" fillId="0" borderId="1" xfId="1" applyNumberFormat="1" applyFont="1" applyBorder="1" applyAlignment="1">
      <alignment horizontal="right" vertical="center"/>
    </xf>
    <xf numFmtId="169" fontId="33" fillId="0" borderId="1" xfId="1" applyNumberFormat="1" applyFont="1" applyBorder="1" applyAlignment="1">
      <alignment horizontal="center"/>
    </xf>
    <xf numFmtId="4" fontId="2" fillId="0" borderId="0" xfId="0" applyNumberFormat="1" applyFont="1"/>
    <xf numFmtId="4" fontId="4" fillId="0" borderId="0" xfId="0" applyNumberFormat="1" applyFont="1"/>
    <xf numFmtId="0" fontId="41" fillId="0" borderId="0" xfId="0" applyFont="1" applyAlignment="1">
      <alignment horizontal="center" wrapText="1"/>
    </xf>
    <xf numFmtId="0" fontId="44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4" fontId="12" fillId="0" borderId="4" xfId="0" applyNumberFormat="1" applyFont="1" applyBorder="1"/>
    <xf numFmtId="4" fontId="15" fillId="0" borderId="10" xfId="1" applyNumberFormat="1" applyFont="1" applyFill="1" applyBorder="1" applyAlignment="1">
      <alignment horizontal="right" vertical="center"/>
    </xf>
    <xf numFmtId="4" fontId="12" fillId="0" borderId="1" xfId="1" applyNumberFormat="1" applyFont="1" applyFill="1" applyBorder="1" applyAlignment="1">
      <alignment horizontal="right"/>
    </xf>
    <xf numFmtId="4" fontId="28" fillId="0" borderId="1" xfId="1" applyNumberFormat="1" applyFont="1" applyFill="1" applyBorder="1" applyAlignment="1">
      <alignment vertical="center"/>
    </xf>
    <xf numFmtId="4" fontId="15" fillId="0" borderId="1" xfId="1" applyNumberFormat="1" applyFont="1" applyFill="1" applyBorder="1" applyAlignment="1">
      <alignment vertical="center"/>
    </xf>
    <xf numFmtId="4" fontId="12" fillId="0" borderId="1" xfId="1" applyNumberFormat="1" applyFont="1" applyFill="1" applyBorder="1" applyAlignment="1">
      <alignment vertical="center"/>
    </xf>
    <xf numFmtId="4" fontId="12" fillId="0" borderId="1" xfId="1" applyNumberFormat="1" applyFont="1" applyFill="1" applyBorder="1" applyAlignment="1">
      <alignment horizontal="right" vertical="center"/>
    </xf>
    <xf numFmtId="4" fontId="12" fillId="3" borderId="1" xfId="1" applyNumberFormat="1" applyFont="1" applyFill="1" applyBorder="1" applyAlignment="1">
      <alignment horizontal="right" vertical="center"/>
    </xf>
    <xf numFmtId="0" fontId="11" fillId="0" borderId="10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right" vertical="center"/>
    </xf>
    <xf numFmtId="4" fontId="11" fillId="0" borderId="1" xfId="0" applyNumberFormat="1" applyFont="1" applyFill="1" applyBorder="1" applyAlignment="1">
      <alignment horizontal="right" vertical="center"/>
    </xf>
    <xf numFmtId="4" fontId="11" fillId="0" borderId="1" xfId="1" applyNumberFormat="1" applyFont="1" applyBorder="1" applyAlignment="1">
      <alignment horizontal="right" vertical="center"/>
    </xf>
    <xf numFmtId="4" fontId="11" fillId="0" borderId="1" xfId="1" applyNumberFormat="1" applyFont="1" applyFill="1" applyBorder="1" applyAlignment="1">
      <alignment horizontal="right" vertical="center"/>
    </xf>
    <xf numFmtId="4" fontId="13" fillId="0" borderId="1" xfId="1" applyNumberFormat="1" applyFont="1" applyBorder="1" applyAlignment="1">
      <alignment horizontal="right" vertical="center"/>
    </xf>
    <xf numFmtId="0" fontId="44" fillId="0" borderId="1" xfId="0" applyFont="1" applyFill="1" applyBorder="1" applyAlignment="1">
      <alignment wrapText="1"/>
    </xf>
    <xf numFmtId="4" fontId="44" fillId="0" borderId="1" xfId="1" applyNumberFormat="1" applyFont="1" applyBorder="1"/>
    <xf numFmtId="0" fontId="16" fillId="0" borderId="2" xfId="0" applyFont="1" applyBorder="1" applyAlignment="1">
      <alignment horizontal="left"/>
    </xf>
    <xf numFmtId="4" fontId="19" fillId="0" borderId="0" xfId="0" applyNumberFormat="1" applyFont="1"/>
    <xf numFmtId="165" fontId="15" fillId="0" borderId="1" xfId="1" applyNumberFormat="1" applyFont="1" applyBorder="1" applyAlignment="1">
      <alignment vertical="top" wrapText="1"/>
    </xf>
    <xf numFmtId="0" fontId="37" fillId="0" borderId="5" xfId="0" applyFont="1" applyBorder="1" applyAlignment="1">
      <alignment vertical="top" wrapText="1"/>
    </xf>
    <xf numFmtId="165" fontId="27" fillId="0" borderId="1" xfId="1" applyNumberFormat="1" applyFont="1" applyBorder="1" applyAlignment="1">
      <alignment vertical="top" wrapText="1"/>
    </xf>
    <xf numFmtId="49" fontId="15" fillId="0" borderId="1" xfId="0" applyNumberFormat="1" applyFont="1" applyBorder="1" applyAlignment="1">
      <alignment vertical="top" wrapText="1"/>
    </xf>
    <xf numFmtId="4" fontId="14" fillId="0" borderId="1" xfId="1" applyNumberFormat="1" applyFont="1" applyBorder="1"/>
    <xf numFmtId="43" fontId="14" fillId="0" borderId="1" xfId="1" applyFont="1" applyBorder="1" applyAlignment="1">
      <alignment horizontal="right"/>
    </xf>
    <xf numFmtId="43" fontId="16" fillId="0" borderId="1" xfId="1" applyFont="1" applyBorder="1" applyAlignment="1">
      <alignment horizontal="right"/>
    </xf>
    <xf numFmtId="43" fontId="16" fillId="0" borderId="1" xfId="1" applyFont="1" applyFill="1" applyBorder="1" applyAlignment="1">
      <alignment horizontal="right"/>
    </xf>
    <xf numFmtId="168" fontId="14" fillId="0" borderId="1" xfId="1" applyNumberFormat="1" applyFont="1" applyBorder="1" applyAlignment="1">
      <alignment horizontal="right"/>
    </xf>
    <xf numFmtId="168" fontId="16" fillId="0" borderId="1" xfId="1" applyNumberFormat="1" applyFont="1" applyBorder="1" applyAlignment="1">
      <alignment horizontal="right"/>
    </xf>
    <xf numFmtId="4" fontId="14" fillId="0" borderId="1" xfId="1" applyNumberFormat="1" applyFont="1" applyBorder="1" applyAlignment="1">
      <alignment horizontal="right"/>
    </xf>
    <xf numFmtId="4" fontId="16" fillId="0" borderId="1" xfId="1" applyNumberFormat="1" applyFont="1" applyBorder="1" applyAlignment="1">
      <alignment horizontal="right"/>
    </xf>
    <xf numFmtId="168" fontId="16" fillId="0" borderId="1" xfId="1" applyNumberFormat="1" applyFont="1" applyFill="1" applyBorder="1" applyAlignment="1">
      <alignment horizontal="right"/>
    </xf>
    <xf numFmtId="43" fontId="14" fillId="0" borderId="1" xfId="1" applyNumberFormat="1" applyFont="1" applyBorder="1"/>
    <xf numFmtId="43" fontId="16" fillId="0" borderId="1" xfId="1" applyNumberFormat="1" applyFont="1" applyFill="1" applyBorder="1"/>
    <xf numFmtId="43" fontId="14" fillId="0" borderId="8" xfId="1" applyNumberFormat="1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/>
    </xf>
    <xf numFmtId="4" fontId="44" fillId="0" borderId="1" xfId="0" applyNumberFormat="1" applyFont="1" applyBorder="1" applyAlignment="1">
      <alignment horizontal="right"/>
    </xf>
    <xf numFmtId="0" fontId="44" fillId="0" borderId="1" xfId="0" applyFont="1" applyBorder="1" applyAlignment="1">
      <alignment horizontal="left" wrapText="1"/>
    </xf>
    <xf numFmtId="166" fontId="17" fillId="0" borderId="1" xfId="0" applyNumberFormat="1" applyFont="1" applyBorder="1"/>
    <xf numFmtId="166" fontId="20" fillId="0" borderId="1" xfId="0" applyNumberFormat="1" applyFont="1" applyBorder="1"/>
    <xf numFmtId="166" fontId="36" fillId="0" borderId="1" xfId="1" applyNumberFormat="1" applyFont="1" applyBorder="1"/>
    <xf numFmtId="0" fontId="42" fillId="0" borderId="0" xfId="0" applyFont="1" applyBorder="1" applyAlignment="1">
      <alignment horizontal="center"/>
    </xf>
    <xf numFmtId="4" fontId="42" fillId="0" borderId="0" xfId="0" applyNumberFormat="1" applyFont="1" applyBorder="1"/>
    <xf numFmtId="166" fontId="20" fillId="0" borderId="0" xfId="0" applyNumberFormat="1" applyFont="1" applyBorder="1"/>
    <xf numFmtId="0" fontId="16" fillId="0" borderId="1" xfId="0" applyFont="1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wrapText="1"/>
    </xf>
    <xf numFmtId="167" fontId="9" fillId="0" borderId="2" xfId="1" applyNumberFormat="1" applyFont="1" applyBorder="1" applyAlignment="1">
      <alignment horizontal="right" vertical="center"/>
    </xf>
    <xf numFmtId="167" fontId="42" fillId="0" borderId="1" xfId="1" applyNumberFormat="1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 wrapText="1"/>
    </xf>
    <xf numFmtId="4" fontId="11" fillId="0" borderId="1" xfId="1" applyNumberFormat="1" applyFont="1" applyBorder="1" applyAlignment="1">
      <alignment horizontal="right"/>
    </xf>
    <xf numFmtId="4" fontId="11" fillId="0" borderId="1" xfId="1" applyNumberFormat="1" applyFont="1" applyFill="1" applyBorder="1" applyAlignment="1">
      <alignment horizontal="right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43" fontId="15" fillId="0" borderId="2" xfId="0" applyNumberFormat="1" applyFont="1" applyFill="1" applyBorder="1" applyAlignment="1">
      <alignment horizontal="center" vertical="center" wrapText="1"/>
    </xf>
    <xf numFmtId="43" fontId="15" fillId="0" borderId="5" xfId="0" applyNumberFormat="1" applyFont="1" applyFill="1" applyBorder="1" applyAlignment="1">
      <alignment horizontal="center" vertical="center" wrapText="1"/>
    </xf>
    <xf numFmtId="43" fontId="15" fillId="0" borderId="4" xfId="0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5" fillId="0" borderId="2" xfId="0" quotePrefix="1" applyFont="1" applyBorder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5" fillId="0" borderId="2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left"/>
    </xf>
    <xf numFmtId="0" fontId="9" fillId="0" borderId="0" xfId="0" applyFont="1" applyAlignment="1">
      <alignment horizontal="right"/>
    </xf>
    <xf numFmtId="0" fontId="16" fillId="0" borderId="3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top" wrapText="1"/>
    </xf>
    <xf numFmtId="0" fontId="15" fillId="0" borderId="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2" fillId="0" borderId="1" xfId="0" applyFont="1" applyBorder="1" applyAlignment="1">
      <alignment horizontal="center"/>
    </xf>
    <xf numFmtId="0" fontId="41" fillId="0" borderId="0" xfId="0" applyFont="1" applyAlignment="1">
      <alignment horizontal="center" wrapText="1"/>
    </xf>
    <xf numFmtId="0" fontId="41" fillId="0" borderId="0" xfId="0" applyFont="1" applyBorder="1" applyAlignment="1">
      <alignment horizontal="center"/>
    </xf>
    <xf numFmtId="0" fontId="28" fillId="0" borderId="0" xfId="0" applyFont="1" applyAlignment="1">
      <alignment horizontal="right"/>
    </xf>
    <xf numFmtId="0" fontId="44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43" fontId="11" fillId="0" borderId="0" xfId="0" applyNumberFormat="1" applyFont="1" applyBorder="1" applyAlignment="1">
      <alignment horizontal="right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6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0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168" fontId="32" fillId="2" borderId="1" xfId="1" applyNumberFormat="1" applyFont="1" applyFill="1" applyBorder="1" applyAlignment="1">
      <alignment horizontal="right" vertical="center"/>
    </xf>
    <xf numFmtId="0" fontId="27" fillId="2" borderId="8" xfId="0" applyFont="1" applyFill="1" applyBorder="1" applyAlignment="1">
      <alignment horizontal="center"/>
    </xf>
    <xf numFmtId="0" fontId="27" fillId="2" borderId="6" xfId="0" applyFont="1" applyFill="1" applyBorder="1" applyAlignment="1">
      <alignment horizontal="center"/>
    </xf>
    <xf numFmtId="0" fontId="27" fillId="2" borderId="3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4" fontId="28" fillId="0" borderId="10" xfId="1" applyNumberFormat="1" applyFont="1" applyBorder="1" applyAlignment="1">
      <alignment vertical="center"/>
    </xf>
    <xf numFmtId="0" fontId="20" fillId="2" borderId="1" xfId="0" quotePrefix="1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left"/>
    </xf>
    <xf numFmtId="4" fontId="20" fillId="2" borderId="1" xfId="1" applyNumberFormat="1" applyFont="1" applyFill="1" applyBorder="1" applyAlignment="1">
      <alignment horizontal="right"/>
    </xf>
    <xf numFmtId="167" fontId="34" fillId="2" borderId="1" xfId="1" applyNumberFormat="1" applyFont="1" applyFill="1" applyBorder="1" applyAlignment="1">
      <alignment horizontal="right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top" wrapText="1"/>
    </xf>
    <xf numFmtId="0" fontId="20" fillId="2" borderId="2" xfId="0" quotePrefix="1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 vertical="center"/>
    </xf>
    <xf numFmtId="0" fontId="20" fillId="2" borderId="1" xfId="0" applyFont="1" applyFill="1" applyBorder="1"/>
    <xf numFmtId="0" fontId="20" fillId="2" borderId="1" xfId="0" quotePrefix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top" wrapText="1"/>
    </xf>
    <xf numFmtId="4" fontId="17" fillId="2" borderId="1" xfId="1" applyNumberFormat="1" applyFont="1" applyFill="1" applyBorder="1" applyAlignment="1">
      <alignment horizontal="right"/>
    </xf>
    <xf numFmtId="167" fontId="21" fillId="2" borderId="1" xfId="1" applyNumberFormat="1" applyFont="1" applyFill="1" applyBorder="1" applyAlignment="1">
      <alignment horizontal="right"/>
    </xf>
    <xf numFmtId="0" fontId="20" fillId="2" borderId="8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colors>
    <mruColors>
      <color rgb="FF561F1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400"/>
              <a:t>Wykonanie dochodów Powiatu Białogardzkiego w I półroczu 2010 roku</a:t>
            </a:r>
          </a:p>
        </c:rich>
      </c:tx>
      <c:layout>
        <c:manualLayout>
          <c:xMode val="edge"/>
          <c:yMode val="edge"/>
          <c:x val="0.16517428605006471"/>
          <c:y val="2.5171624713958809E-2"/>
        </c:manualLayout>
      </c:layout>
      <c:spPr>
        <a:noFill/>
        <a:ln w="25400">
          <a:noFill/>
        </a:ln>
      </c:spPr>
    </c:title>
    <c:view3D>
      <c:hPercent val="149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9253745374989537"/>
          <c:y val="7.0752830701325792E-2"/>
          <c:w val="0.65933218651568215"/>
          <c:h val="0.85830945397584668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dochodów'!$A$3:$A$18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756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926</c:v>
                </c:pt>
              </c:strCache>
            </c:strRef>
          </c:cat>
          <c:val>
            <c:numRef>
              <c:f>'wykres dochodów'!$B$3:$B$18</c:f>
              <c:numCache>
                <c:formatCode>_-* #,##0\ _z_ł_-;\-* #,##0\ _z_ł_-;_-* "-"??\ _z_ł_-;_-@_-</c:formatCode>
                <c:ptCount val="16"/>
                <c:pt idx="0">
                  <c:v>125000</c:v>
                </c:pt>
                <c:pt idx="1">
                  <c:v>260000</c:v>
                </c:pt>
                <c:pt idx="2">
                  <c:v>2073890.03</c:v>
                </c:pt>
                <c:pt idx="3">
                  <c:v>321600</c:v>
                </c:pt>
                <c:pt idx="4">
                  <c:v>365173</c:v>
                </c:pt>
                <c:pt idx="5">
                  <c:v>2795530.82</c:v>
                </c:pt>
                <c:pt idx="6">
                  <c:v>3607275</c:v>
                </c:pt>
                <c:pt idx="7">
                  <c:v>5873797</c:v>
                </c:pt>
                <c:pt idx="8">
                  <c:v>28171325</c:v>
                </c:pt>
                <c:pt idx="9">
                  <c:v>711182.39</c:v>
                </c:pt>
                <c:pt idx="10">
                  <c:v>3649610.69</c:v>
                </c:pt>
                <c:pt idx="11">
                  <c:v>4445286.76</c:v>
                </c:pt>
                <c:pt idx="12">
                  <c:v>2257748.13</c:v>
                </c:pt>
                <c:pt idx="13">
                  <c:v>476454.48</c:v>
                </c:pt>
                <c:pt idx="14">
                  <c:v>266916</c:v>
                </c:pt>
                <c:pt idx="15">
                  <c:v>666000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dochodów'!$A$3:$A$18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756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926</c:v>
                </c:pt>
              </c:strCache>
            </c:strRef>
          </c:cat>
          <c:val>
            <c:numRef>
              <c:f>'wykres dochodów'!$C$3:$C$18</c:f>
              <c:numCache>
                <c:formatCode>_-* #,##0.00\ _z_ł_-;\-* #,##0.00\ _z_ł_-;_-* "-"??\ _z_ł_-;_-@_-</c:formatCode>
                <c:ptCount val="16"/>
                <c:pt idx="0">
                  <c:v>4045.36</c:v>
                </c:pt>
                <c:pt idx="1">
                  <c:v>123664.79</c:v>
                </c:pt>
                <c:pt idx="2">
                  <c:v>48932.68</c:v>
                </c:pt>
                <c:pt idx="3">
                  <c:v>120309.49</c:v>
                </c:pt>
                <c:pt idx="4">
                  <c:v>152111.57</c:v>
                </c:pt>
                <c:pt idx="5">
                  <c:v>172245.85</c:v>
                </c:pt>
                <c:pt idx="6">
                  <c:v>1848770.89</c:v>
                </c:pt>
                <c:pt idx="7">
                  <c:v>2810073.06</c:v>
                </c:pt>
                <c:pt idx="8">
                  <c:v>16128876.43</c:v>
                </c:pt>
                <c:pt idx="9">
                  <c:v>262342.88</c:v>
                </c:pt>
                <c:pt idx="10">
                  <c:v>1153000</c:v>
                </c:pt>
                <c:pt idx="11">
                  <c:v>2205247.54</c:v>
                </c:pt>
                <c:pt idx="12">
                  <c:v>1755870.5</c:v>
                </c:pt>
                <c:pt idx="13">
                  <c:v>64188.13</c:v>
                </c:pt>
                <c:pt idx="14">
                  <c:v>218316.46</c:v>
                </c:pt>
                <c:pt idx="15">
                  <c:v>0</c:v>
                </c:pt>
              </c:numCache>
            </c:numRef>
          </c:val>
        </c:ser>
        <c:shape val="box"/>
        <c:axId val="60801024"/>
        <c:axId val="60802560"/>
        <c:axId val="0"/>
      </c:bar3DChart>
      <c:catAx>
        <c:axId val="608010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0802560"/>
        <c:crosses val="autoZero"/>
        <c:auto val="1"/>
        <c:lblAlgn val="ctr"/>
        <c:lblOffset val="100"/>
        <c:tickLblSkip val="1"/>
        <c:tickMarkSkip val="1"/>
      </c:catAx>
      <c:valAx>
        <c:axId val="608025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08010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141752305920644"/>
          <c:y val="0.9064248800653818"/>
          <c:w val="0.19824704541414825"/>
          <c:h val="4.462245055870250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/>
    <c:pageMargins b="0.98425196850393659" l="0.74803149606299912" r="0.15748031496063156" t="0.98425196850393659" header="0.51181102362204722" footer="0.51181102362204722"/>
    <c:pageSetup paperSize="9" orientation="portrait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Wykonanie wydatków Powiatu Białogardzkiego </a:t>
            </a:r>
          </a:p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 I półroczu 2010 r.</a:t>
            </a:r>
          </a:p>
        </c:rich>
      </c:tx>
      <c:layout>
        <c:manualLayout>
          <c:xMode val="edge"/>
          <c:yMode val="edge"/>
          <c:x val="0.18704672041615475"/>
          <c:y val="2.5531972437871583E-2"/>
        </c:manualLayout>
      </c:layout>
      <c:spPr>
        <a:noFill/>
        <a:ln w="25400">
          <a:noFill/>
        </a:ln>
      </c:spPr>
    </c:title>
    <c:view3D>
      <c:hPercent val="14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3185204261001535"/>
          <c:y val="7.6595784468388703E-2"/>
          <c:w val="0.72148252529300538"/>
          <c:h val="0.83936213813275118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chemeClr val="accent4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wydatków'!$A$2:$A$77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150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754</c:v>
                </c:pt>
                <c:pt idx="8">
                  <c:v>757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921</c:v>
                </c:pt>
                <c:pt idx="15">
                  <c:v>926</c:v>
                </c:pt>
              </c:strCache>
            </c:strRef>
          </c:cat>
          <c:val>
            <c:numRef>
              <c:f>'wykres wydatków'!$D$2:$D$77</c:f>
              <c:numCache>
                <c:formatCode>_-* #,##0\ _z_ł_-;\-* #,##0\ _z_ł_-;_-* "-"??\ _z_ł_-;_-@_-</c:formatCode>
                <c:ptCount val="16"/>
                <c:pt idx="0">
                  <c:v>125294</c:v>
                </c:pt>
                <c:pt idx="1">
                  <c:v>295000</c:v>
                </c:pt>
                <c:pt idx="2">
                  <c:v>1520</c:v>
                </c:pt>
                <c:pt idx="3">
                  <c:v>8561405.0899999999</c:v>
                </c:pt>
                <c:pt idx="4">
                  <c:v>361092.34</c:v>
                </c:pt>
                <c:pt idx="5">
                  <c:v>365173</c:v>
                </c:pt>
                <c:pt idx="6">
                  <c:v>9005901.25</c:v>
                </c:pt>
                <c:pt idx="7">
                  <c:v>4073112</c:v>
                </c:pt>
                <c:pt idx="8">
                  <c:v>572174</c:v>
                </c:pt>
                <c:pt idx="9">
                  <c:v>18938776.57</c:v>
                </c:pt>
                <c:pt idx="10">
                  <c:v>6254174.9000000004</c:v>
                </c:pt>
                <c:pt idx="11">
                  <c:v>9336288.3599999994</c:v>
                </c:pt>
                <c:pt idx="12">
                  <c:v>4002471.71</c:v>
                </c:pt>
                <c:pt idx="13">
                  <c:v>5734995.2699999996</c:v>
                </c:pt>
                <c:pt idx="14">
                  <c:v>216500</c:v>
                </c:pt>
                <c:pt idx="15">
                  <c:v>2614707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92D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wydatków'!$A$2:$A$77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150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754</c:v>
                </c:pt>
                <c:pt idx="8">
                  <c:v>757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921</c:v>
                </c:pt>
                <c:pt idx="15">
                  <c:v>926</c:v>
                </c:pt>
              </c:strCache>
            </c:strRef>
          </c:cat>
          <c:val>
            <c:numRef>
              <c:f>'wykres wydatków'!$E$2:$E$77</c:f>
              <c:numCache>
                <c:formatCode>_-* #,##0\ _z_ł_-;\-* #,##0\ _z_ł_-;_-* "-"??\ _z_ł_-;_-@_-</c:formatCode>
                <c:ptCount val="16"/>
                <c:pt idx="0">
                  <c:v>4259</c:v>
                </c:pt>
                <c:pt idx="1">
                  <c:v>132232.38</c:v>
                </c:pt>
                <c:pt idx="2">
                  <c:v>1519.73</c:v>
                </c:pt>
                <c:pt idx="3">
                  <c:v>1649291.71</c:v>
                </c:pt>
                <c:pt idx="4">
                  <c:v>138522.95000000001</c:v>
                </c:pt>
                <c:pt idx="5">
                  <c:v>149685.07999999999</c:v>
                </c:pt>
                <c:pt idx="6">
                  <c:v>3454726.98</c:v>
                </c:pt>
                <c:pt idx="7">
                  <c:v>1519163.52</c:v>
                </c:pt>
                <c:pt idx="8">
                  <c:v>182285.9</c:v>
                </c:pt>
                <c:pt idx="9">
                  <c:v>7937368.3899999997</c:v>
                </c:pt>
                <c:pt idx="10">
                  <c:v>1195084.1399999999</c:v>
                </c:pt>
                <c:pt idx="11">
                  <c:v>4055050.26</c:v>
                </c:pt>
                <c:pt idx="12">
                  <c:v>2235199.25</c:v>
                </c:pt>
                <c:pt idx="13">
                  <c:v>2224082.5499999998</c:v>
                </c:pt>
                <c:pt idx="14">
                  <c:v>39500</c:v>
                </c:pt>
                <c:pt idx="15">
                  <c:v>87556.51</c:v>
                </c:pt>
              </c:numCache>
            </c:numRef>
          </c:val>
        </c:ser>
        <c:shape val="box"/>
        <c:axId val="61725696"/>
        <c:axId val="61801216"/>
        <c:axId val="0"/>
      </c:bar3DChart>
      <c:catAx>
        <c:axId val="617256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1801216"/>
        <c:crosses val="autoZero"/>
        <c:auto val="1"/>
        <c:lblAlgn val="ctr"/>
        <c:lblOffset val="100"/>
        <c:tickLblSkip val="1"/>
        <c:tickMarkSkip val="1"/>
      </c:catAx>
      <c:valAx>
        <c:axId val="618012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1725696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3780230926705475E-2"/>
          <c:y val="0.94365742202051472"/>
          <c:w val="0.36136927171832739"/>
          <c:h val="4.437851010768833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>
      <c:oddFooter>&amp;R&amp;7Wykres wydatków Powiatu Białogardzkiego w I półroczu 2010r.</c:oddFooter>
    </c:headerFooter>
    <c:pageMargins b="1" l="0.18000000000000024" r="0.22" t="1" header="0.5" footer="0.5"/>
    <c:pageSetup paperSize="9" orientation="portrait" horizont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3905249</xdr:colOff>
      <xdr:row>82</xdr:row>
      <xdr:rowOff>158749</xdr:rowOff>
    </xdr:to>
    <xdr:graphicFrame macro="">
      <xdr:nvGraphicFramePr>
        <xdr:cNvPr id="512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19051</xdr:rowOff>
    </xdr:from>
    <xdr:to>
      <xdr:col>9</xdr:col>
      <xdr:colOff>952501</xdr:colOff>
      <xdr:row>92</xdr:row>
      <xdr:rowOff>28576</xdr:rowOff>
    </xdr:to>
    <xdr:graphicFrame macro="">
      <xdr:nvGraphicFramePr>
        <xdr:cNvPr id="2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2"/>
  <sheetViews>
    <sheetView view="pageLayout" topLeftCell="A181" workbookViewId="0">
      <selection activeCell="D24" sqref="D24"/>
    </sheetView>
  </sheetViews>
  <sheetFormatPr defaultRowHeight="12.75"/>
  <cols>
    <col min="1" max="1" width="3.85546875" customWidth="1"/>
    <col min="2" max="2" width="5.28515625" customWidth="1"/>
    <col min="3" max="3" width="4.28515625" customWidth="1"/>
    <col min="4" max="4" width="44.85546875" customWidth="1"/>
    <col min="5" max="5" width="12.42578125" style="210" customWidth="1"/>
    <col min="6" max="6" width="11.28515625" style="210" customWidth="1"/>
    <col min="7" max="7" width="11" style="37" customWidth="1"/>
    <col min="8" max="8" width="12.42578125" style="37" customWidth="1"/>
    <col min="9" max="9" width="10.28515625" style="37" customWidth="1"/>
    <col min="10" max="10" width="11.42578125" style="37" customWidth="1"/>
    <col min="11" max="11" width="5.7109375" customWidth="1"/>
    <col min="12" max="12" width="6.140625" customWidth="1"/>
  </cols>
  <sheetData>
    <row r="1" spans="1:11">
      <c r="A1" s="42"/>
      <c r="B1" s="42"/>
      <c r="C1" s="42"/>
      <c r="D1" s="411" t="s">
        <v>261</v>
      </c>
      <c r="E1" s="411"/>
      <c r="F1" s="411"/>
      <c r="G1" s="411"/>
      <c r="H1" s="411"/>
      <c r="I1" s="411"/>
      <c r="J1" s="411"/>
      <c r="K1" s="411"/>
    </row>
    <row r="2" spans="1:11">
      <c r="A2" s="412" t="s">
        <v>2</v>
      </c>
      <c r="B2" s="412"/>
      <c r="C2" s="412"/>
      <c r="D2" s="412"/>
      <c r="E2" s="412"/>
      <c r="F2" s="412"/>
      <c r="G2" s="412"/>
      <c r="H2" s="412"/>
      <c r="I2" s="412"/>
      <c r="J2" s="412"/>
      <c r="K2" s="412"/>
    </row>
    <row r="3" spans="1:11">
      <c r="A3" s="412" t="s">
        <v>3</v>
      </c>
      <c r="B3" s="412"/>
      <c r="C3" s="412"/>
      <c r="D3" s="412"/>
      <c r="E3" s="412"/>
      <c r="F3" s="412"/>
      <c r="G3" s="412"/>
      <c r="H3" s="412"/>
      <c r="I3" s="412"/>
      <c r="J3" s="412"/>
      <c r="K3" s="412"/>
    </row>
    <row r="4" spans="1:11">
      <c r="A4" s="412" t="s">
        <v>4</v>
      </c>
      <c r="B4" s="412"/>
      <c r="C4" s="412"/>
      <c r="D4" s="412"/>
      <c r="E4" s="412"/>
      <c r="F4" s="412"/>
      <c r="G4" s="412"/>
      <c r="H4" s="412"/>
      <c r="I4" s="412"/>
      <c r="J4" s="412"/>
      <c r="K4" s="412"/>
    </row>
    <row r="5" spans="1:11">
      <c r="A5" s="412" t="s">
        <v>315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</row>
    <row r="6" spans="1:11">
      <c r="A6" s="42"/>
      <c r="B6" s="42"/>
      <c r="C6" s="42"/>
      <c r="D6" s="42"/>
      <c r="E6" s="209"/>
      <c r="F6" s="209"/>
      <c r="G6" s="43"/>
      <c r="H6" s="43"/>
      <c r="I6" s="137" t="s">
        <v>143</v>
      </c>
      <c r="J6" s="379"/>
    </row>
    <row r="7" spans="1:11" s="91" customFormat="1" ht="11.25">
      <c r="A7" s="401" t="s">
        <v>0</v>
      </c>
      <c r="B7" s="401" t="s">
        <v>62</v>
      </c>
      <c r="C7" s="401" t="s">
        <v>63</v>
      </c>
      <c r="D7" s="401" t="s">
        <v>1</v>
      </c>
      <c r="E7" s="404" t="s">
        <v>158</v>
      </c>
      <c r="F7" s="404" t="s">
        <v>127</v>
      </c>
      <c r="G7" s="407" t="s">
        <v>347</v>
      </c>
      <c r="H7" s="511"/>
      <c r="I7" s="511"/>
      <c r="J7" s="408"/>
      <c r="K7" s="397" t="s">
        <v>128</v>
      </c>
    </row>
    <row r="8" spans="1:11" s="91" customFormat="1" ht="10.5" customHeight="1">
      <c r="A8" s="402"/>
      <c r="B8" s="402"/>
      <c r="C8" s="402"/>
      <c r="D8" s="402"/>
      <c r="E8" s="405"/>
      <c r="F8" s="405"/>
      <c r="G8" s="410" t="s">
        <v>196</v>
      </c>
      <c r="H8" s="378" t="s">
        <v>10</v>
      </c>
      <c r="I8" s="409" t="s">
        <v>197</v>
      </c>
      <c r="J8" s="378" t="s">
        <v>10</v>
      </c>
      <c r="K8" s="398"/>
    </row>
    <row r="9" spans="1:11" s="91" customFormat="1" ht="112.5" customHeight="1">
      <c r="A9" s="403"/>
      <c r="B9" s="403"/>
      <c r="C9" s="403"/>
      <c r="D9" s="403"/>
      <c r="E9" s="406"/>
      <c r="F9" s="406"/>
      <c r="G9" s="410"/>
      <c r="H9" s="377" t="s">
        <v>348</v>
      </c>
      <c r="I9" s="409"/>
      <c r="J9" s="512" t="s">
        <v>348</v>
      </c>
      <c r="K9" s="399"/>
    </row>
    <row r="10" spans="1:11" s="91" customFormat="1" ht="11.25">
      <c r="A10" s="49">
        <v>1</v>
      </c>
      <c r="B10" s="49">
        <v>2</v>
      </c>
      <c r="C10" s="49">
        <v>3</v>
      </c>
      <c r="D10" s="49">
        <v>4</v>
      </c>
      <c r="E10" s="215">
        <v>5</v>
      </c>
      <c r="F10" s="187">
        <v>6</v>
      </c>
      <c r="G10" s="187">
        <v>7</v>
      </c>
      <c r="H10" s="187">
        <v>8</v>
      </c>
      <c r="I10" s="187">
        <v>9</v>
      </c>
      <c r="J10" s="215">
        <v>10</v>
      </c>
      <c r="K10" s="187">
        <v>11</v>
      </c>
    </row>
    <row r="11" spans="1:11" s="72" customFormat="1" ht="12">
      <c r="A11" s="146" t="s">
        <v>13</v>
      </c>
      <c r="B11" s="150"/>
      <c r="C11" s="147"/>
      <c r="D11" s="148" t="s">
        <v>27</v>
      </c>
      <c r="E11" s="216">
        <f>E12</f>
        <v>50000</v>
      </c>
      <c r="F11" s="216">
        <f>G11+I11</f>
        <v>24996</v>
      </c>
      <c r="G11" s="224">
        <f>G12</f>
        <v>24996</v>
      </c>
      <c r="H11" s="224">
        <f>H12</f>
        <v>0</v>
      </c>
      <c r="I11" s="224">
        <f>I12</f>
        <v>0</v>
      </c>
      <c r="J11" s="224">
        <f>J12</f>
        <v>0</v>
      </c>
      <c r="K11" s="332">
        <f>(G11+I11)/E11*100</f>
        <v>49.991999999999997</v>
      </c>
    </row>
    <row r="12" spans="1:11" s="72" customFormat="1" ht="12">
      <c r="A12" s="401" t="s">
        <v>12</v>
      </c>
      <c r="B12" s="149" t="s">
        <v>48</v>
      </c>
      <c r="C12" s="184"/>
      <c r="D12" s="180" t="s">
        <v>64</v>
      </c>
      <c r="E12" s="217">
        <f>E13</f>
        <v>50000</v>
      </c>
      <c r="F12" s="217">
        <f>G12+I12</f>
        <v>24996</v>
      </c>
      <c r="G12" s="225">
        <f>G13</f>
        <v>24996</v>
      </c>
      <c r="H12" s="231">
        <v>0</v>
      </c>
      <c r="I12" s="225">
        <v>0</v>
      </c>
      <c r="J12" s="225">
        <v>0</v>
      </c>
      <c r="K12" s="333">
        <f>(G12+I12)/E12*100</f>
        <v>49.991999999999997</v>
      </c>
    </row>
    <row r="13" spans="1:11" s="72" customFormat="1" ht="23.25" customHeight="1">
      <c r="A13" s="402"/>
      <c r="B13" s="184"/>
      <c r="C13" s="184">
        <v>2110</v>
      </c>
      <c r="D13" s="118" t="s">
        <v>65</v>
      </c>
      <c r="E13" s="217">
        <v>50000</v>
      </c>
      <c r="F13" s="217">
        <f t="shared" ref="F13:F76" si="0">G13+I13</f>
        <v>24996</v>
      </c>
      <c r="G13" s="225">
        <v>24996</v>
      </c>
      <c r="H13" s="231">
        <v>0</v>
      </c>
      <c r="I13" s="231">
        <v>0</v>
      </c>
      <c r="J13" s="231">
        <v>0</v>
      </c>
      <c r="K13" s="333">
        <f t="shared" ref="K13:K77" si="1">(G13+I13)/E13*100</f>
        <v>49.991999999999997</v>
      </c>
    </row>
    <row r="14" spans="1:11" s="72" customFormat="1" ht="12">
      <c r="A14" s="150" t="s">
        <v>14</v>
      </c>
      <c r="B14" s="152"/>
      <c r="C14" s="152"/>
      <c r="D14" s="153" t="s">
        <v>28</v>
      </c>
      <c r="E14" s="216">
        <f>E17</f>
        <v>270000</v>
      </c>
      <c r="F14" s="513">
        <f t="shared" si="0"/>
        <v>127550.56</v>
      </c>
      <c r="G14" s="224">
        <f>G15</f>
        <v>127550.56</v>
      </c>
      <c r="H14" s="224">
        <f>H15</f>
        <v>0</v>
      </c>
      <c r="I14" s="224">
        <v>0</v>
      </c>
      <c r="J14" s="224">
        <v>0</v>
      </c>
      <c r="K14" s="334">
        <f t="shared" si="1"/>
        <v>47.240948148148149</v>
      </c>
    </row>
    <row r="15" spans="1:11" s="72" customFormat="1" ht="12">
      <c r="A15" s="400" t="s">
        <v>12</v>
      </c>
      <c r="B15" s="149" t="s">
        <v>66</v>
      </c>
      <c r="C15" s="184"/>
      <c r="D15" s="118" t="s">
        <v>67</v>
      </c>
      <c r="E15" s="217">
        <f>E17+E16</f>
        <v>270000</v>
      </c>
      <c r="F15" s="217">
        <f t="shared" si="0"/>
        <v>127550.56</v>
      </c>
      <c r="G15" s="225">
        <f>G17+G16</f>
        <v>127550.56</v>
      </c>
      <c r="H15" s="231">
        <v>0</v>
      </c>
      <c r="I15" s="231">
        <v>0</v>
      </c>
      <c r="J15" s="231">
        <v>0</v>
      </c>
      <c r="K15" s="333">
        <f t="shared" si="1"/>
        <v>47.240948148148149</v>
      </c>
    </row>
    <row r="16" spans="1:11" s="72" customFormat="1" ht="12">
      <c r="A16" s="400"/>
      <c r="B16" s="413"/>
      <c r="C16" s="149" t="s">
        <v>56</v>
      </c>
      <c r="D16" s="118" t="s">
        <v>58</v>
      </c>
      <c r="E16" s="217">
        <v>0</v>
      </c>
      <c r="F16" s="217">
        <f t="shared" si="0"/>
        <v>676.41</v>
      </c>
      <c r="G16" s="225">
        <v>676.41</v>
      </c>
      <c r="H16" s="231">
        <v>0</v>
      </c>
      <c r="I16" s="231">
        <v>0</v>
      </c>
      <c r="J16" s="231">
        <v>0</v>
      </c>
      <c r="K16" s="333"/>
    </row>
    <row r="17" spans="1:11" s="72" customFormat="1" ht="33" customHeight="1">
      <c r="A17" s="400"/>
      <c r="B17" s="414"/>
      <c r="C17" s="184">
        <v>2460</v>
      </c>
      <c r="D17" s="118" t="s">
        <v>68</v>
      </c>
      <c r="E17" s="217">
        <v>270000</v>
      </c>
      <c r="F17" s="217">
        <f t="shared" si="0"/>
        <v>126874.15</v>
      </c>
      <c r="G17" s="225">
        <v>126874.15</v>
      </c>
      <c r="H17" s="231">
        <v>0</v>
      </c>
      <c r="I17" s="231">
        <v>0</v>
      </c>
      <c r="J17" s="231">
        <v>0</v>
      </c>
      <c r="K17" s="333">
        <f t="shared" si="1"/>
        <v>46.990425925925919</v>
      </c>
    </row>
    <row r="18" spans="1:11" s="72" customFormat="1" ht="12">
      <c r="A18" s="152">
        <v>600</v>
      </c>
      <c r="B18" s="152"/>
      <c r="C18" s="152"/>
      <c r="D18" s="153" t="s">
        <v>69</v>
      </c>
      <c r="E18" s="216">
        <f>E19+E28</f>
        <v>2899451.47</v>
      </c>
      <c r="F18" s="513">
        <f t="shared" si="0"/>
        <v>995709.26</v>
      </c>
      <c r="G18" s="224">
        <f>G19+G28</f>
        <v>19911.52</v>
      </c>
      <c r="H18" s="224">
        <f>H19+H28</f>
        <v>0</v>
      </c>
      <c r="I18" s="224">
        <f>I19+I28</f>
        <v>975797.74</v>
      </c>
      <c r="J18" s="224">
        <f>J19+J28</f>
        <v>963797.74</v>
      </c>
      <c r="K18" s="334">
        <f t="shared" si="1"/>
        <v>34.341297666209947</v>
      </c>
    </row>
    <row r="19" spans="1:11" s="72" customFormat="1" ht="12">
      <c r="A19" s="401"/>
      <c r="B19" s="184">
        <v>60014</v>
      </c>
      <c r="C19" s="184"/>
      <c r="D19" s="118" t="s">
        <v>39</v>
      </c>
      <c r="E19" s="217">
        <f>SUM(E20:E27)</f>
        <v>2720192.8200000003</v>
      </c>
      <c r="F19" s="217">
        <f t="shared" si="0"/>
        <v>958380.34</v>
      </c>
      <c r="G19" s="217">
        <f>SUM(G20:G27)</f>
        <v>19911.52</v>
      </c>
      <c r="H19" s="231">
        <v>0</v>
      </c>
      <c r="I19" s="217">
        <f>SUM(I20:I27)</f>
        <v>938468.82</v>
      </c>
      <c r="J19" s="217">
        <f>SUM(J20:J27)</f>
        <v>926468.82</v>
      </c>
      <c r="K19" s="333">
        <f t="shared" si="1"/>
        <v>35.232073732184901</v>
      </c>
    </row>
    <row r="20" spans="1:11" s="72" customFormat="1" ht="12">
      <c r="A20" s="402"/>
      <c r="B20" s="401"/>
      <c r="C20" s="149" t="s">
        <v>55</v>
      </c>
      <c r="D20" s="118" t="s">
        <v>57</v>
      </c>
      <c r="E20" s="217">
        <v>0</v>
      </c>
      <c r="F20" s="217">
        <f t="shared" si="0"/>
        <v>640.4</v>
      </c>
      <c r="G20" s="225">
        <v>640.4</v>
      </c>
      <c r="H20" s="231">
        <v>0</v>
      </c>
      <c r="I20" s="231">
        <v>0</v>
      </c>
      <c r="J20" s="231">
        <v>0</v>
      </c>
      <c r="K20" s="333"/>
    </row>
    <row r="21" spans="1:11" s="72" customFormat="1" ht="12">
      <c r="A21" s="402"/>
      <c r="B21" s="402"/>
      <c r="C21" s="149" t="s">
        <v>49</v>
      </c>
      <c r="D21" s="118" t="s">
        <v>59</v>
      </c>
      <c r="E21" s="217">
        <v>1500</v>
      </c>
      <c r="F21" s="217">
        <f t="shared" si="0"/>
        <v>1089.23</v>
      </c>
      <c r="G21" s="225">
        <v>1089.23</v>
      </c>
      <c r="H21" s="231">
        <v>0</v>
      </c>
      <c r="I21" s="231">
        <v>0</v>
      </c>
      <c r="J21" s="231">
        <v>0</v>
      </c>
      <c r="K21" s="333">
        <f t="shared" si="1"/>
        <v>72.615333333333325</v>
      </c>
    </row>
    <row r="22" spans="1:11" s="72" customFormat="1" ht="12">
      <c r="A22" s="402"/>
      <c r="B22" s="402"/>
      <c r="C22" s="149" t="s">
        <v>56</v>
      </c>
      <c r="D22" s="118" t="s">
        <v>58</v>
      </c>
      <c r="E22" s="217">
        <v>15000</v>
      </c>
      <c r="F22" s="217">
        <f t="shared" si="0"/>
        <v>18181.89</v>
      </c>
      <c r="G22" s="225">
        <v>18181.89</v>
      </c>
      <c r="H22" s="231">
        <v>0</v>
      </c>
      <c r="I22" s="231">
        <v>0</v>
      </c>
      <c r="J22" s="231">
        <v>0</v>
      </c>
      <c r="K22" s="333">
        <f t="shared" si="1"/>
        <v>121.21260000000001</v>
      </c>
    </row>
    <row r="23" spans="1:11" s="72" customFormat="1" ht="36" customHeight="1">
      <c r="A23" s="402"/>
      <c r="B23" s="402"/>
      <c r="C23" s="149">
        <v>2310</v>
      </c>
      <c r="D23" s="118" t="s">
        <v>314</v>
      </c>
      <c r="E23" s="217">
        <v>22968.32</v>
      </c>
      <c r="F23" s="217">
        <f t="shared" si="0"/>
        <v>0</v>
      </c>
      <c r="G23" s="225">
        <v>0</v>
      </c>
      <c r="H23" s="231">
        <v>0</v>
      </c>
      <c r="I23" s="231">
        <v>0</v>
      </c>
      <c r="J23" s="231">
        <v>0</v>
      </c>
      <c r="K23" s="333">
        <f t="shared" si="1"/>
        <v>0</v>
      </c>
    </row>
    <row r="24" spans="1:11" s="72" customFormat="1" ht="45.75" customHeight="1">
      <c r="A24" s="402"/>
      <c r="B24" s="402"/>
      <c r="C24" s="149">
        <v>6207</v>
      </c>
      <c r="D24" s="118" t="s">
        <v>213</v>
      </c>
      <c r="E24" s="217">
        <v>1331719.5</v>
      </c>
      <c r="F24" s="217">
        <f t="shared" si="0"/>
        <v>926468.82</v>
      </c>
      <c r="G24" s="225">
        <v>0</v>
      </c>
      <c r="H24" s="231">
        <v>0</v>
      </c>
      <c r="I24" s="231">
        <v>926468.82</v>
      </c>
      <c r="J24" s="231">
        <v>926468.82</v>
      </c>
      <c r="K24" s="333">
        <f t="shared" si="1"/>
        <v>69.56936652200406</v>
      </c>
    </row>
    <row r="25" spans="1:11" s="72" customFormat="1" ht="21.75" customHeight="1">
      <c r="A25" s="402"/>
      <c r="B25" s="402"/>
      <c r="C25" s="149">
        <v>6290</v>
      </c>
      <c r="D25" s="118" t="s">
        <v>313</v>
      </c>
      <c r="E25" s="217">
        <v>23000</v>
      </c>
      <c r="F25" s="217">
        <f t="shared" si="0"/>
        <v>12000</v>
      </c>
      <c r="G25" s="225">
        <v>0</v>
      </c>
      <c r="H25" s="328">
        <v>0</v>
      </c>
      <c r="I25" s="328">
        <v>12000</v>
      </c>
      <c r="J25" s="328"/>
      <c r="K25" s="333">
        <f t="shared" si="1"/>
        <v>52.173913043478258</v>
      </c>
    </row>
    <row r="26" spans="1:11" s="72" customFormat="1" ht="33" customHeight="1">
      <c r="A26" s="402"/>
      <c r="B26" s="402"/>
      <c r="C26" s="331">
        <v>6300</v>
      </c>
      <c r="D26" s="118" t="s">
        <v>310</v>
      </c>
      <c r="E26" s="329">
        <v>100000</v>
      </c>
      <c r="F26" s="217">
        <f t="shared" si="0"/>
        <v>0</v>
      </c>
      <c r="G26" s="329">
        <v>0</v>
      </c>
      <c r="H26" s="231">
        <v>0</v>
      </c>
      <c r="I26" s="329">
        <v>0</v>
      </c>
      <c r="J26" s="329">
        <v>0</v>
      </c>
      <c r="K26" s="333">
        <f t="shared" si="1"/>
        <v>0</v>
      </c>
    </row>
    <row r="27" spans="1:11" s="72" customFormat="1" ht="22.5">
      <c r="A27" s="402"/>
      <c r="B27" s="403"/>
      <c r="C27" s="331">
        <v>6430</v>
      </c>
      <c r="D27" s="118" t="s">
        <v>217</v>
      </c>
      <c r="E27" s="329">
        <v>1226005</v>
      </c>
      <c r="F27" s="217">
        <f t="shared" si="0"/>
        <v>0</v>
      </c>
      <c r="G27" s="329">
        <v>0</v>
      </c>
      <c r="H27" s="231">
        <v>0</v>
      </c>
      <c r="I27" s="329">
        <v>0</v>
      </c>
      <c r="J27" s="329">
        <v>0</v>
      </c>
      <c r="K27" s="333">
        <f t="shared" si="1"/>
        <v>0</v>
      </c>
    </row>
    <row r="28" spans="1:11" s="72" customFormat="1" ht="12">
      <c r="A28" s="402"/>
      <c r="B28" s="206">
        <v>60016</v>
      </c>
      <c r="C28" s="149"/>
      <c r="D28" s="118" t="s">
        <v>203</v>
      </c>
      <c r="E28" s="217">
        <f>E29</f>
        <v>179258.65</v>
      </c>
      <c r="F28" s="217">
        <f t="shared" si="0"/>
        <v>37328.92</v>
      </c>
      <c r="G28" s="225">
        <f>G29</f>
        <v>0</v>
      </c>
      <c r="H28" s="231">
        <v>0</v>
      </c>
      <c r="I28" s="231">
        <f>I29</f>
        <v>37328.92</v>
      </c>
      <c r="J28" s="231">
        <f>J29</f>
        <v>37328.92</v>
      </c>
      <c r="K28" s="333">
        <f t="shared" si="1"/>
        <v>20.824055073492968</v>
      </c>
    </row>
    <row r="29" spans="1:11" s="72" customFormat="1" ht="42.75" customHeight="1">
      <c r="A29" s="403"/>
      <c r="B29" s="206"/>
      <c r="C29" s="149">
        <v>6207</v>
      </c>
      <c r="D29" s="118" t="s">
        <v>213</v>
      </c>
      <c r="E29" s="217">
        <v>179258.65</v>
      </c>
      <c r="F29" s="217">
        <f t="shared" si="0"/>
        <v>37328.92</v>
      </c>
      <c r="G29" s="225">
        <v>0</v>
      </c>
      <c r="H29" s="231">
        <v>0</v>
      </c>
      <c r="I29" s="231">
        <v>37328.92</v>
      </c>
      <c r="J29" s="231">
        <v>37328.92</v>
      </c>
      <c r="K29" s="333">
        <f t="shared" si="1"/>
        <v>20.824055073492968</v>
      </c>
    </row>
    <row r="30" spans="1:11" s="72" customFormat="1" ht="12">
      <c r="A30" s="152">
        <v>700</v>
      </c>
      <c r="B30" s="152"/>
      <c r="C30" s="152"/>
      <c r="D30" s="153" t="s">
        <v>29</v>
      </c>
      <c r="E30" s="216">
        <f>E31</f>
        <v>1022027</v>
      </c>
      <c r="F30" s="513">
        <f t="shared" si="0"/>
        <v>110849.13</v>
      </c>
      <c r="G30" s="224">
        <f>G31</f>
        <v>110849.13</v>
      </c>
      <c r="H30" s="224">
        <f>H31</f>
        <v>0</v>
      </c>
      <c r="I30" s="224">
        <f>I31</f>
        <v>0</v>
      </c>
      <c r="J30" s="224">
        <f>J31</f>
        <v>0</v>
      </c>
      <c r="K30" s="334">
        <f t="shared" si="1"/>
        <v>10.846007982176596</v>
      </c>
    </row>
    <row r="31" spans="1:11" s="72" customFormat="1" ht="12">
      <c r="A31" s="400" t="s">
        <v>12</v>
      </c>
      <c r="B31" s="184">
        <v>70005</v>
      </c>
      <c r="C31" s="184"/>
      <c r="D31" s="118" t="s">
        <v>70</v>
      </c>
      <c r="E31" s="217">
        <f>SUM(E32:E38)</f>
        <v>1022027</v>
      </c>
      <c r="F31" s="217">
        <f t="shared" si="0"/>
        <v>110849.13</v>
      </c>
      <c r="G31" s="225">
        <f>SUM(G32:G38)</f>
        <v>110849.13</v>
      </c>
      <c r="H31" s="231">
        <v>0</v>
      </c>
      <c r="I31" s="225">
        <f>SUM(I32:I38)</f>
        <v>0</v>
      </c>
      <c r="J31" s="225">
        <f>SUM(J32:J38)</f>
        <v>0</v>
      </c>
      <c r="K31" s="333">
        <f t="shared" si="1"/>
        <v>10.846007982176596</v>
      </c>
    </row>
    <row r="32" spans="1:11" s="72" customFormat="1" ht="22.5" customHeight="1">
      <c r="A32" s="400"/>
      <c r="B32" s="400"/>
      <c r="C32" s="149" t="s">
        <v>20</v>
      </c>
      <c r="D32" s="118" t="s">
        <v>23</v>
      </c>
      <c r="E32" s="217">
        <v>7000</v>
      </c>
      <c r="F32" s="217">
        <f t="shared" si="0"/>
        <v>5922.97</v>
      </c>
      <c r="G32" s="225">
        <v>5922.97</v>
      </c>
      <c r="H32" s="231">
        <v>0</v>
      </c>
      <c r="I32" s="225">
        <v>0</v>
      </c>
      <c r="J32" s="225">
        <v>0</v>
      </c>
      <c r="K32" s="333">
        <f t="shared" si="1"/>
        <v>84.613857142857157</v>
      </c>
    </row>
    <row r="33" spans="1:11" s="72" customFormat="1" ht="32.25" customHeight="1">
      <c r="A33" s="400"/>
      <c r="B33" s="400"/>
      <c r="C33" s="149" t="s">
        <v>21</v>
      </c>
      <c r="D33" s="118" t="s">
        <v>166</v>
      </c>
      <c r="E33" s="217">
        <v>30000</v>
      </c>
      <c r="F33" s="217">
        <f t="shared" si="0"/>
        <v>20089.64</v>
      </c>
      <c r="G33" s="225">
        <v>20089.64</v>
      </c>
      <c r="H33" s="231">
        <v>0</v>
      </c>
      <c r="I33" s="225">
        <v>0</v>
      </c>
      <c r="J33" s="225">
        <v>0</v>
      </c>
      <c r="K33" s="333">
        <f t="shared" si="1"/>
        <v>66.965466666666657</v>
      </c>
    </row>
    <row r="34" spans="1:11" s="72" customFormat="1" ht="23.25" customHeight="1">
      <c r="A34" s="400"/>
      <c r="B34" s="400"/>
      <c r="C34" s="149" t="s">
        <v>22</v>
      </c>
      <c r="D34" s="118" t="s">
        <v>60</v>
      </c>
      <c r="E34" s="217">
        <v>880000</v>
      </c>
      <c r="F34" s="217">
        <f t="shared" si="0"/>
        <v>0</v>
      </c>
      <c r="G34" s="225">
        <v>0</v>
      </c>
      <c r="H34" s="231">
        <v>0</v>
      </c>
      <c r="I34" s="225">
        <v>0</v>
      </c>
      <c r="J34" s="225">
        <v>0</v>
      </c>
      <c r="K34" s="333">
        <f t="shared" si="1"/>
        <v>0</v>
      </c>
    </row>
    <row r="35" spans="1:11" s="72" customFormat="1" ht="12">
      <c r="A35" s="400"/>
      <c r="B35" s="400"/>
      <c r="C35" s="149" t="s">
        <v>49</v>
      </c>
      <c r="D35" s="118" t="s">
        <v>59</v>
      </c>
      <c r="E35" s="217">
        <v>27</v>
      </c>
      <c r="F35" s="217">
        <f t="shared" si="0"/>
        <v>2236.19</v>
      </c>
      <c r="G35" s="225">
        <v>2236.19</v>
      </c>
      <c r="H35" s="231">
        <v>0</v>
      </c>
      <c r="I35" s="225">
        <v>0</v>
      </c>
      <c r="J35" s="225">
        <v>0</v>
      </c>
      <c r="K35" s="333"/>
    </row>
    <row r="36" spans="1:11" s="72" customFormat="1" ht="12">
      <c r="A36" s="400"/>
      <c r="B36" s="400"/>
      <c r="C36" s="149" t="s">
        <v>56</v>
      </c>
      <c r="D36" s="118" t="s">
        <v>58</v>
      </c>
      <c r="E36" s="217">
        <v>15000</v>
      </c>
      <c r="F36" s="217">
        <f t="shared" si="0"/>
        <v>3645.81</v>
      </c>
      <c r="G36" s="225">
        <v>3645.81</v>
      </c>
      <c r="H36" s="231">
        <v>0</v>
      </c>
      <c r="I36" s="225">
        <v>0</v>
      </c>
      <c r="J36" s="225">
        <v>0</v>
      </c>
      <c r="K36" s="333"/>
    </row>
    <row r="37" spans="1:11" s="72" customFormat="1" ht="22.5" customHeight="1">
      <c r="A37" s="400"/>
      <c r="B37" s="400"/>
      <c r="C37" s="184">
        <v>2110</v>
      </c>
      <c r="D37" s="118" t="s">
        <v>65</v>
      </c>
      <c r="E37" s="217">
        <v>10000</v>
      </c>
      <c r="F37" s="217">
        <f t="shared" si="0"/>
        <v>6110</v>
      </c>
      <c r="G37" s="225">
        <v>6110</v>
      </c>
      <c r="H37" s="231">
        <v>0</v>
      </c>
      <c r="I37" s="225">
        <v>0</v>
      </c>
      <c r="J37" s="225">
        <v>0</v>
      </c>
      <c r="K37" s="333">
        <f t="shared" si="1"/>
        <v>61.1</v>
      </c>
    </row>
    <row r="38" spans="1:11" s="72" customFormat="1" ht="33.75" customHeight="1">
      <c r="A38" s="400"/>
      <c r="B38" s="400"/>
      <c r="C38" s="184">
        <v>2360</v>
      </c>
      <c r="D38" s="118" t="s">
        <v>131</v>
      </c>
      <c r="E38" s="217">
        <v>80000</v>
      </c>
      <c r="F38" s="217">
        <f t="shared" si="0"/>
        <v>72844.52</v>
      </c>
      <c r="G38" s="225">
        <v>72844.52</v>
      </c>
      <c r="H38" s="231">
        <v>0</v>
      </c>
      <c r="I38" s="225">
        <v>0</v>
      </c>
      <c r="J38" s="225">
        <v>0</v>
      </c>
      <c r="K38" s="333">
        <f t="shared" si="1"/>
        <v>91.055650000000014</v>
      </c>
    </row>
    <row r="39" spans="1:11" s="72" customFormat="1" ht="12">
      <c r="A39" s="146">
        <v>710</v>
      </c>
      <c r="B39" s="150"/>
      <c r="C39" s="152"/>
      <c r="D39" s="153" t="s">
        <v>30</v>
      </c>
      <c r="E39" s="216">
        <f>E40+E42+E48</f>
        <v>1049518.92</v>
      </c>
      <c r="F39" s="513">
        <f t="shared" si="0"/>
        <v>622205.52</v>
      </c>
      <c r="G39" s="224">
        <f>G40+G42+G48</f>
        <v>622205.52</v>
      </c>
      <c r="H39" s="224">
        <f>H40+H42+H48</f>
        <v>0</v>
      </c>
      <c r="I39" s="224">
        <v>0</v>
      </c>
      <c r="J39" s="224">
        <v>0</v>
      </c>
      <c r="K39" s="334">
        <f t="shared" si="1"/>
        <v>59.284831187226253</v>
      </c>
    </row>
    <row r="40" spans="1:11" s="72" customFormat="1" ht="12">
      <c r="A40" s="415" t="s">
        <v>12</v>
      </c>
      <c r="B40" s="149">
        <v>71013</v>
      </c>
      <c r="C40" s="184"/>
      <c r="D40" s="118" t="s">
        <v>71</v>
      </c>
      <c r="E40" s="217">
        <f>E41</f>
        <v>85000</v>
      </c>
      <c r="F40" s="217">
        <f t="shared" si="0"/>
        <v>42498</v>
      </c>
      <c r="G40" s="225">
        <f>G41</f>
        <v>42498</v>
      </c>
      <c r="H40" s="231">
        <v>0</v>
      </c>
      <c r="I40" s="225">
        <v>0</v>
      </c>
      <c r="J40" s="225">
        <v>0</v>
      </c>
      <c r="K40" s="333">
        <f t="shared" si="1"/>
        <v>49.997647058823532</v>
      </c>
    </row>
    <row r="41" spans="1:11" s="72" customFormat="1" ht="21.75" customHeight="1">
      <c r="A41" s="416"/>
      <c r="B41" s="184"/>
      <c r="C41" s="184">
        <v>2110</v>
      </c>
      <c r="D41" s="118" t="s">
        <v>65</v>
      </c>
      <c r="E41" s="217">
        <v>85000</v>
      </c>
      <c r="F41" s="217">
        <f t="shared" si="0"/>
        <v>42498</v>
      </c>
      <c r="G41" s="225">
        <v>42498</v>
      </c>
      <c r="H41" s="231">
        <v>0</v>
      </c>
      <c r="I41" s="225">
        <v>0</v>
      </c>
      <c r="J41" s="225">
        <v>0</v>
      </c>
      <c r="K41" s="333">
        <f t="shared" si="1"/>
        <v>49.997647058823532</v>
      </c>
    </row>
    <row r="42" spans="1:11" s="72" customFormat="1" ht="12">
      <c r="A42" s="416"/>
      <c r="B42" s="184">
        <v>71014</v>
      </c>
      <c r="C42" s="184"/>
      <c r="D42" s="118" t="s">
        <v>72</v>
      </c>
      <c r="E42" s="217">
        <f>SUM(E43:E47)</f>
        <v>691518.92</v>
      </c>
      <c r="F42" s="217">
        <f t="shared" si="0"/>
        <v>435876.01</v>
      </c>
      <c r="G42" s="217">
        <f>SUM(G43:G47)</f>
        <v>435876.01</v>
      </c>
      <c r="H42" s="231">
        <v>0</v>
      </c>
      <c r="I42" s="225">
        <v>0</v>
      </c>
      <c r="J42" s="225">
        <v>0</v>
      </c>
      <c r="K42" s="333">
        <f t="shared" si="1"/>
        <v>63.031682488166773</v>
      </c>
    </row>
    <row r="43" spans="1:11" s="72" customFormat="1" ht="12">
      <c r="A43" s="416"/>
      <c r="B43" s="401"/>
      <c r="C43" s="149" t="s">
        <v>37</v>
      </c>
      <c r="D43" s="121" t="s">
        <v>38</v>
      </c>
      <c r="E43" s="217">
        <v>0</v>
      </c>
      <c r="F43" s="217">
        <f t="shared" si="0"/>
        <v>0</v>
      </c>
      <c r="G43" s="225">
        <v>0</v>
      </c>
      <c r="H43" s="231">
        <v>0</v>
      </c>
      <c r="I43" s="225">
        <v>0</v>
      </c>
      <c r="J43" s="225">
        <v>0</v>
      </c>
      <c r="K43" s="333"/>
    </row>
    <row r="44" spans="1:11" s="72" customFormat="1" ht="12">
      <c r="A44" s="416"/>
      <c r="B44" s="402"/>
      <c r="C44" s="149" t="s">
        <v>55</v>
      </c>
      <c r="D44" s="118" t="s">
        <v>57</v>
      </c>
      <c r="E44" s="217">
        <v>430000</v>
      </c>
      <c r="F44" s="217">
        <f t="shared" si="0"/>
        <v>184756.19</v>
      </c>
      <c r="G44" s="225">
        <v>184756.19</v>
      </c>
      <c r="H44" s="231">
        <v>0</v>
      </c>
      <c r="I44" s="225">
        <v>0</v>
      </c>
      <c r="J44" s="225">
        <v>0</v>
      </c>
      <c r="K44" s="333">
        <f t="shared" si="1"/>
        <v>42.966555813953491</v>
      </c>
    </row>
    <row r="45" spans="1:11" s="72" customFormat="1" ht="12">
      <c r="A45" s="416"/>
      <c r="B45" s="402"/>
      <c r="C45" s="149" t="s">
        <v>49</v>
      </c>
      <c r="D45" s="118" t="s">
        <v>59</v>
      </c>
      <c r="E45" s="217">
        <v>0</v>
      </c>
      <c r="F45" s="217">
        <f t="shared" si="0"/>
        <v>602.9</v>
      </c>
      <c r="G45" s="225">
        <v>602.9</v>
      </c>
      <c r="H45" s="231">
        <v>0</v>
      </c>
      <c r="I45" s="225">
        <v>0</v>
      </c>
      <c r="J45" s="225">
        <v>0</v>
      </c>
      <c r="K45" s="333"/>
    </row>
    <row r="46" spans="1:11" s="72" customFormat="1" ht="12">
      <c r="A46" s="416"/>
      <c r="B46" s="402"/>
      <c r="C46" s="149" t="s">
        <v>56</v>
      </c>
      <c r="D46" s="118" t="s">
        <v>58</v>
      </c>
      <c r="E46" s="217">
        <v>239518.92</v>
      </c>
      <c r="F46" s="217">
        <f t="shared" si="0"/>
        <v>239518.92</v>
      </c>
      <c r="G46" s="225">
        <v>239518.92</v>
      </c>
      <c r="H46" s="231">
        <v>0</v>
      </c>
      <c r="I46" s="225">
        <v>0</v>
      </c>
      <c r="J46" s="225">
        <v>0</v>
      </c>
      <c r="K46" s="333">
        <f t="shared" si="1"/>
        <v>100</v>
      </c>
    </row>
    <row r="47" spans="1:11" s="72" customFormat="1" ht="21.75" customHeight="1">
      <c r="A47" s="416"/>
      <c r="B47" s="403"/>
      <c r="C47" s="184">
        <v>2110</v>
      </c>
      <c r="D47" s="118" t="s">
        <v>65</v>
      </c>
      <c r="E47" s="217">
        <v>22000</v>
      </c>
      <c r="F47" s="217">
        <f t="shared" si="0"/>
        <v>10998</v>
      </c>
      <c r="G47" s="225">
        <v>10998</v>
      </c>
      <c r="H47" s="231">
        <v>0</v>
      </c>
      <c r="I47" s="225">
        <v>0</v>
      </c>
      <c r="J47" s="225">
        <v>0</v>
      </c>
      <c r="K47" s="333">
        <f t="shared" si="1"/>
        <v>49.990909090909092</v>
      </c>
    </row>
    <row r="48" spans="1:11" s="72" customFormat="1" ht="12">
      <c r="A48" s="416"/>
      <c r="B48" s="184">
        <v>71015</v>
      </c>
      <c r="C48" s="184"/>
      <c r="D48" s="118" t="s">
        <v>73</v>
      </c>
      <c r="E48" s="217">
        <f>SUM(E49:E52)</f>
        <v>273000</v>
      </c>
      <c r="F48" s="217">
        <f t="shared" si="0"/>
        <v>143831.51</v>
      </c>
      <c r="G48" s="217">
        <f t="shared" ref="G48:I48" si="2">SUM(G49:G52)</f>
        <v>143831.51</v>
      </c>
      <c r="H48" s="231">
        <v>0</v>
      </c>
      <c r="I48" s="217">
        <f t="shared" si="2"/>
        <v>0</v>
      </c>
      <c r="J48" s="217">
        <f t="shared" ref="J48" si="3">SUM(J49:J52)</f>
        <v>0</v>
      </c>
      <c r="K48" s="333">
        <f t="shared" si="1"/>
        <v>52.685534798534803</v>
      </c>
    </row>
    <row r="49" spans="1:11" s="72" customFormat="1" ht="12">
      <c r="A49" s="416"/>
      <c r="B49" s="401"/>
      <c r="C49" s="149" t="s">
        <v>37</v>
      </c>
      <c r="D49" s="121" t="s">
        <v>38</v>
      </c>
      <c r="E49" s="217">
        <v>0</v>
      </c>
      <c r="F49" s="217">
        <f t="shared" si="0"/>
        <v>26.4</v>
      </c>
      <c r="G49" s="225">
        <v>26.4</v>
      </c>
      <c r="H49" s="231">
        <v>0</v>
      </c>
      <c r="I49" s="225">
        <v>0</v>
      </c>
      <c r="J49" s="225">
        <v>0</v>
      </c>
      <c r="K49" s="333"/>
    </row>
    <row r="50" spans="1:11" s="72" customFormat="1" ht="12">
      <c r="A50" s="416"/>
      <c r="B50" s="402"/>
      <c r="C50" s="149" t="s">
        <v>49</v>
      </c>
      <c r="D50" s="118" t="s">
        <v>59</v>
      </c>
      <c r="E50" s="217">
        <v>0</v>
      </c>
      <c r="F50" s="217">
        <f t="shared" si="0"/>
        <v>182.11</v>
      </c>
      <c r="G50" s="225">
        <v>182.11</v>
      </c>
      <c r="H50" s="231">
        <v>0</v>
      </c>
      <c r="I50" s="225">
        <v>0</v>
      </c>
      <c r="J50" s="225">
        <v>0</v>
      </c>
      <c r="K50" s="333"/>
    </row>
    <row r="51" spans="1:11" s="72" customFormat="1" ht="22.5" customHeight="1">
      <c r="A51" s="416"/>
      <c r="B51" s="402"/>
      <c r="C51" s="149">
        <v>2110</v>
      </c>
      <c r="D51" s="118" t="s">
        <v>65</v>
      </c>
      <c r="E51" s="217">
        <v>273000</v>
      </c>
      <c r="F51" s="217">
        <f t="shared" si="0"/>
        <v>143618</v>
      </c>
      <c r="G51" s="225">
        <v>143618</v>
      </c>
      <c r="H51" s="328">
        <v>0</v>
      </c>
      <c r="I51" s="225">
        <v>0</v>
      </c>
      <c r="J51" s="225">
        <v>0</v>
      </c>
      <c r="K51" s="333">
        <f t="shared" si="1"/>
        <v>52.607326007326009</v>
      </c>
    </row>
    <row r="52" spans="1:11" s="72" customFormat="1" ht="35.25" customHeight="1">
      <c r="A52" s="417"/>
      <c r="B52" s="403"/>
      <c r="C52" s="149">
        <v>2360</v>
      </c>
      <c r="D52" s="118" t="s">
        <v>131</v>
      </c>
      <c r="E52" s="217">
        <v>0</v>
      </c>
      <c r="F52" s="217">
        <f t="shared" si="0"/>
        <v>5</v>
      </c>
      <c r="G52" s="225">
        <v>5</v>
      </c>
      <c r="H52" s="231">
        <v>0</v>
      </c>
      <c r="I52" s="225">
        <v>0</v>
      </c>
      <c r="J52" s="225">
        <v>0</v>
      </c>
      <c r="K52" s="333"/>
    </row>
    <row r="53" spans="1:11" s="72" customFormat="1" ht="12">
      <c r="A53" s="147">
        <v>750</v>
      </c>
      <c r="B53" s="152"/>
      <c r="C53" s="152"/>
      <c r="D53" s="153" t="s">
        <v>31</v>
      </c>
      <c r="E53" s="216">
        <f>E54+E56+E60+E63</f>
        <v>417594.76</v>
      </c>
      <c r="F53" s="513">
        <f t="shared" si="0"/>
        <v>112029.96</v>
      </c>
      <c r="G53" s="216">
        <f t="shared" ref="G53:I53" si="4">G54+G56+G60+G63</f>
        <v>112029.96</v>
      </c>
      <c r="H53" s="216">
        <f t="shared" si="4"/>
        <v>0</v>
      </c>
      <c r="I53" s="216">
        <f t="shared" si="4"/>
        <v>0</v>
      </c>
      <c r="J53" s="216">
        <f t="shared" ref="J53" si="5">J54+J56+J60+J63</f>
        <v>0</v>
      </c>
      <c r="K53" s="334">
        <f t="shared" si="1"/>
        <v>26.827434328917349</v>
      </c>
    </row>
    <row r="54" spans="1:11" s="72" customFormat="1" ht="12">
      <c r="A54" s="415" t="s">
        <v>12</v>
      </c>
      <c r="B54" s="184">
        <v>75011</v>
      </c>
      <c r="C54" s="184"/>
      <c r="D54" s="118" t="s">
        <v>75</v>
      </c>
      <c r="E54" s="217">
        <f>E55</f>
        <v>105200</v>
      </c>
      <c r="F54" s="217">
        <f t="shared" si="0"/>
        <v>57377</v>
      </c>
      <c r="G54" s="225">
        <f>G55</f>
        <v>57377</v>
      </c>
      <c r="H54" s="231">
        <v>0</v>
      </c>
      <c r="I54" s="225">
        <v>0</v>
      </c>
      <c r="J54" s="225">
        <v>0</v>
      </c>
      <c r="K54" s="333">
        <f t="shared" si="1"/>
        <v>54.54087452471483</v>
      </c>
    </row>
    <row r="55" spans="1:11" s="72" customFormat="1" ht="23.25" customHeight="1">
      <c r="A55" s="416"/>
      <c r="B55" s="184"/>
      <c r="C55" s="184">
        <v>2110</v>
      </c>
      <c r="D55" s="118" t="s">
        <v>65</v>
      </c>
      <c r="E55" s="217">
        <v>105200</v>
      </c>
      <c r="F55" s="217">
        <f t="shared" si="0"/>
        <v>57377</v>
      </c>
      <c r="G55" s="225">
        <v>57377</v>
      </c>
      <c r="H55" s="231">
        <v>0</v>
      </c>
      <c r="I55" s="225">
        <v>0</v>
      </c>
      <c r="J55" s="225">
        <v>0</v>
      </c>
      <c r="K55" s="333">
        <f t="shared" si="1"/>
        <v>54.54087452471483</v>
      </c>
    </row>
    <row r="56" spans="1:11" s="72" customFormat="1" ht="12">
      <c r="A56" s="416"/>
      <c r="B56" s="184">
        <v>75020</v>
      </c>
      <c r="C56" s="184"/>
      <c r="D56" s="118" t="s">
        <v>76</v>
      </c>
      <c r="E56" s="217">
        <f>E57+E59+E58</f>
        <v>37894.759999999995</v>
      </c>
      <c r="F56" s="217">
        <f t="shared" si="0"/>
        <v>34947.300000000003</v>
      </c>
      <c r="G56" s="217">
        <f t="shared" ref="G56:I56" si="6">G57+G59+G58</f>
        <v>34947.300000000003</v>
      </c>
      <c r="H56" s="231">
        <v>0</v>
      </c>
      <c r="I56" s="217">
        <f t="shared" si="6"/>
        <v>0</v>
      </c>
      <c r="J56" s="217">
        <f t="shared" ref="J56" si="7">J57+J59+J58</f>
        <v>0</v>
      </c>
      <c r="K56" s="333">
        <f t="shared" si="1"/>
        <v>92.221985308786785</v>
      </c>
    </row>
    <row r="57" spans="1:11" s="72" customFormat="1" ht="12">
      <c r="A57" s="416"/>
      <c r="B57" s="401"/>
      <c r="C57" s="149" t="s">
        <v>37</v>
      </c>
      <c r="D57" s="121" t="s">
        <v>38</v>
      </c>
      <c r="E57" s="217">
        <v>0</v>
      </c>
      <c r="F57" s="217">
        <f t="shared" si="0"/>
        <v>832.97</v>
      </c>
      <c r="G57" s="225">
        <v>832.97</v>
      </c>
      <c r="H57" s="231">
        <v>0</v>
      </c>
      <c r="I57" s="225">
        <v>0</v>
      </c>
      <c r="J57" s="225">
        <v>0</v>
      </c>
      <c r="K57" s="333"/>
    </row>
    <row r="58" spans="1:11" s="72" customFormat="1" ht="33.75" customHeight="1">
      <c r="A58" s="416"/>
      <c r="B58" s="402"/>
      <c r="C58" s="149" t="s">
        <v>21</v>
      </c>
      <c r="D58" s="118" t="s">
        <v>166</v>
      </c>
      <c r="E58" s="217">
        <v>27894.76</v>
      </c>
      <c r="F58" s="217">
        <f t="shared" si="0"/>
        <v>9337.08</v>
      </c>
      <c r="G58" s="225">
        <v>9337.08</v>
      </c>
      <c r="H58" s="231">
        <v>0</v>
      </c>
      <c r="I58" s="225">
        <v>0</v>
      </c>
      <c r="J58" s="225">
        <v>0</v>
      </c>
      <c r="K58" s="333">
        <f t="shared" si="1"/>
        <v>33.472523154886439</v>
      </c>
    </row>
    <row r="59" spans="1:11" s="72" customFormat="1" ht="12">
      <c r="A59" s="416"/>
      <c r="B59" s="402"/>
      <c r="C59" s="149" t="s">
        <v>56</v>
      </c>
      <c r="D59" s="118" t="s">
        <v>58</v>
      </c>
      <c r="E59" s="217">
        <v>10000</v>
      </c>
      <c r="F59" s="217">
        <f t="shared" si="0"/>
        <v>24777.25</v>
      </c>
      <c r="G59" s="225">
        <v>24777.25</v>
      </c>
      <c r="H59" s="231">
        <v>0</v>
      </c>
      <c r="I59" s="225">
        <v>0</v>
      </c>
      <c r="J59" s="225">
        <v>0</v>
      </c>
      <c r="K59" s="333">
        <f t="shared" si="1"/>
        <v>247.77250000000001</v>
      </c>
    </row>
    <row r="60" spans="1:11" s="72" customFormat="1" ht="12">
      <c r="A60" s="416"/>
      <c r="B60" s="184">
        <v>75045</v>
      </c>
      <c r="C60" s="184"/>
      <c r="D60" s="118" t="s">
        <v>303</v>
      </c>
      <c r="E60" s="217">
        <f>E61+E62</f>
        <v>20500</v>
      </c>
      <c r="F60" s="217">
        <f t="shared" si="0"/>
        <v>18805.66</v>
      </c>
      <c r="G60" s="225">
        <f>G61+G62</f>
        <v>18805.66</v>
      </c>
      <c r="H60" s="231">
        <v>0</v>
      </c>
      <c r="I60" s="225">
        <v>0</v>
      </c>
      <c r="J60" s="225">
        <v>0</v>
      </c>
      <c r="K60" s="333">
        <f t="shared" si="1"/>
        <v>91.734926829268289</v>
      </c>
    </row>
    <row r="61" spans="1:11" s="72" customFormat="1" ht="22.5" customHeight="1">
      <c r="A61" s="416"/>
      <c r="B61" s="400"/>
      <c r="C61" s="184">
        <v>2110</v>
      </c>
      <c r="D61" s="118" t="s">
        <v>65</v>
      </c>
      <c r="E61" s="217">
        <v>20000</v>
      </c>
      <c r="F61" s="217">
        <f t="shared" si="0"/>
        <v>18805.66</v>
      </c>
      <c r="G61" s="225">
        <v>18805.66</v>
      </c>
      <c r="H61" s="231">
        <v>0</v>
      </c>
      <c r="I61" s="225">
        <v>0</v>
      </c>
      <c r="J61" s="225">
        <v>0</v>
      </c>
      <c r="K61" s="333">
        <f t="shared" si="1"/>
        <v>94.028300000000002</v>
      </c>
    </row>
    <row r="62" spans="1:11" s="72" customFormat="1" ht="36" customHeight="1">
      <c r="A62" s="416"/>
      <c r="B62" s="400"/>
      <c r="C62" s="184">
        <v>2120</v>
      </c>
      <c r="D62" s="118" t="s">
        <v>24</v>
      </c>
      <c r="E62" s="217">
        <v>500</v>
      </c>
      <c r="F62" s="217">
        <f t="shared" si="0"/>
        <v>0</v>
      </c>
      <c r="G62" s="225">
        <v>0</v>
      </c>
      <c r="H62" s="231">
        <v>0</v>
      </c>
      <c r="I62" s="225">
        <v>0</v>
      </c>
      <c r="J62" s="225">
        <v>0</v>
      </c>
      <c r="K62" s="333">
        <f t="shared" si="1"/>
        <v>0</v>
      </c>
    </row>
    <row r="63" spans="1:11" s="72" customFormat="1" ht="12">
      <c r="A63" s="416"/>
      <c r="B63" s="203">
        <v>75095</v>
      </c>
      <c r="C63" s="203"/>
      <c r="D63" s="154" t="s">
        <v>74</v>
      </c>
      <c r="E63" s="217">
        <f>E65+E64</f>
        <v>254000</v>
      </c>
      <c r="F63" s="217">
        <f t="shared" si="0"/>
        <v>900</v>
      </c>
      <c r="G63" s="217">
        <f>G65+G64</f>
        <v>900</v>
      </c>
      <c r="H63" s="231">
        <v>0</v>
      </c>
      <c r="I63" s="225">
        <v>0</v>
      </c>
      <c r="J63" s="225">
        <v>0</v>
      </c>
      <c r="K63" s="333">
        <f t="shared" si="1"/>
        <v>0.3543307086614173</v>
      </c>
    </row>
    <row r="64" spans="1:11" s="72" customFormat="1" ht="12">
      <c r="A64" s="416"/>
      <c r="B64" s="401"/>
      <c r="C64" s="149" t="s">
        <v>56</v>
      </c>
      <c r="D64" s="118" t="s">
        <v>58</v>
      </c>
      <c r="E64" s="217">
        <v>0</v>
      </c>
      <c r="F64" s="217">
        <f t="shared" si="0"/>
        <v>900</v>
      </c>
      <c r="G64" s="225">
        <v>900</v>
      </c>
      <c r="H64" s="231">
        <v>0</v>
      </c>
      <c r="I64" s="225">
        <v>0</v>
      </c>
      <c r="J64" s="225">
        <v>0</v>
      </c>
      <c r="K64" s="333"/>
    </row>
    <row r="65" spans="1:11" s="72" customFormat="1" ht="32.25" customHeight="1">
      <c r="A65" s="417"/>
      <c r="B65" s="403"/>
      <c r="C65" s="203">
        <v>6627</v>
      </c>
      <c r="D65" s="154" t="s">
        <v>215</v>
      </c>
      <c r="E65" s="217">
        <v>254000</v>
      </c>
      <c r="F65" s="217">
        <f t="shared" si="0"/>
        <v>0</v>
      </c>
      <c r="G65" s="225">
        <v>0</v>
      </c>
      <c r="H65" s="231">
        <v>0</v>
      </c>
      <c r="I65" s="225">
        <v>0</v>
      </c>
      <c r="J65" s="225">
        <v>0</v>
      </c>
      <c r="K65" s="333">
        <f t="shared" si="1"/>
        <v>0</v>
      </c>
    </row>
    <row r="66" spans="1:11" s="72" customFormat="1" ht="12">
      <c r="A66" s="152">
        <v>754</v>
      </c>
      <c r="B66" s="152"/>
      <c r="C66" s="152"/>
      <c r="D66" s="153" t="s">
        <v>32</v>
      </c>
      <c r="E66" s="216">
        <f>E67+E71</f>
        <v>3089695.7</v>
      </c>
      <c r="F66" s="513">
        <f t="shared" si="0"/>
        <v>1925360.42</v>
      </c>
      <c r="G66" s="224">
        <f>G67+G71</f>
        <v>1925360.42</v>
      </c>
      <c r="H66" s="224">
        <f>H67+H71</f>
        <v>0</v>
      </c>
      <c r="I66" s="224">
        <f>I67+I71</f>
        <v>0</v>
      </c>
      <c r="J66" s="224">
        <f>J67+J71</f>
        <v>0</v>
      </c>
      <c r="K66" s="334">
        <f t="shared" si="1"/>
        <v>62.315535474901296</v>
      </c>
    </row>
    <row r="67" spans="1:11" s="72" customFormat="1" ht="11.25" customHeight="1">
      <c r="A67" s="402"/>
      <c r="B67" s="184">
        <v>75411</v>
      </c>
      <c r="C67" s="184"/>
      <c r="D67" s="118" t="s">
        <v>40</v>
      </c>
      <c r="E67" s="217">
        <f>SUM(E68:E70)</f>
        <v>3083300</v>
      </c>
      <c r="F67" s="217">
        <f t="shared" si="0"/>
        <v>1918964.72</v>
      </c>
      <c r="G67" s="225">
        <f>SUM(G68:G70)</f>
        <v>1918964.72</v>
      </c>
      <c r="H67" s="231">
        <v>0</v>
      </c>
      <c r="I67" s="225">
        <f>SUM(I68:I70)</f>
        <v>0</v>
      </c>
      <c r="J67" s="225">
        <f>SUM(J68:J70)</f>
        <v>0</v>
      </c>
      <c r="K67" s="333">
        <f t="shared" si="1"/>
        <v>62.237366458015764</v>
      </c>
    </row>
    <row r="68" spans="1:11" s="72" customFormat="1" ht="12">
      <c r="A68" s="402"/>
      <c r="B68" s="401"/>
      <c r="C68" s="149" t="s">
        <v>49</v>
      </c>
      <c r="D68" s="118" t="s">
        <v>59</v>
      </c>
      <c r="E68" s="217">
        <v>6000</v>
      </c>
      <c r="F68" s="217">
        <f t="shared" si="0"/>
        <v>3110.72</v>
      </c>
      <c r="G68" s="225">
        <v>3110.72</v>
      </c>
      <c r="H68" s="231">
        <v>0</v>
      </c>
      <c r="I68" s="225">
        <v>0</v>
      </c>
      <c r="J68" s="225">
        <v>0</v>
      </c>
      <c r="K68" s="333">
        <f t="shared" si="1"/>
        <v>51.845333333333329</v>
      </c>
    </row>
    <row r="69" spans="1:11" s="72" customFormat="1" ht="12">
      <c r="A69" s="402"/>
      <c r="B69" s="402"/>
      <c r="C69" s="149" t="s">
        <v>56</v>
      </c>
      <c r="D69" s="118" t="s">
        <v>58</v>
      </c>
      <c r="E69" s="217">
        <v>800</v>
      </c>
      <c r="F69" s="217">
        <f t="shared" si="0"/>
        <v>356</v>
      </c>
      <c r="G69" s="225">
        <v>356</v>
      </c>
      <c r="H69" s="231">
        <v>0</v>
      </c>
      <c r="I69" s="225">
        <v>0</v>
      </c>
      <c r="J69" s="225">
        <v>0</v>
      </c>
      <c r="K69" s="333">
        <f t="shared" si="1"/>
        <v>44.5</v>
      </c>
    </row>
    <row r="70" spans="1:11" s="72" customFormat="1" ht="21.75" customHeight="1">
      <c r="A70" s="402"/>
      <c r="B70" s="402"/>
      <c r="C70" s="184">
        <v>2110</v>
      </c>
      <c r="D70" s="118" t="s">
        <v>65</v>
      </c>
      <c r="E70" s="217">
        <v>3076500</v>
      </c>
      <c r="F70" s="217">
        <f t="shared" si="0"/>
        <v>1915498</v>
      </c>
      <c r="G70" s="225">
        <v>1915498</v>
      </c>
      <c r="H70" s="231">
        <v>0</v>
      </c>
      <c r="I70" s="225">
        <v>0</v>
      </c>
      <c r="J70" s="225">
        <v>0</v>
      </c>
      <c r="K70" s="333">
        <f t="shared" si="1"/>
        <v>62.262246058833092</v>
      </c>
    </row>
    <row r="71" spans="1:11" s="72" customFormat="1" ht="12">
      <c r="A71" s="402"/>
      <c r="B71" s="184">
        <v>75421</v>
      </c>
      <c r="C71" s="184"/>
      <c r="D71" s="118" t="s">
        <v>167</v>
      </c>
      <c r="E71" s="217">
        <f>E72</f>
        <v>6395.7</v>
      </c>
      <c r="F71" s="217">
        <f t="shared" si="0"/>
        <v>6395.7</v>
      </c>
      <c r="G71" s="225">
        <f>G72</f>
        <v>6395.7</v>
      </c>
      <c r="H71" s="231">
        <v>0</v>
      </c>
      <c r="I71" s="225">
        <v>0</v>
      </c>
      <c r="J71" s="225">
        <v>0</v>
      </c>
      <c r="K71" s="333">
        <f t="shared" si="1"/>
        <v>100</v>
      </c>
    </row>
    <row r="72" spans="1:11" s="72" customFormat="1" ht="34.5" customHeight="1">
      <c r="A72" s="403"/>
      <c r="B72" s="184"/>
      <c r="C72" s="184">
        <v>2310</v>
      </c>
      <c r="D72" s="182" t="s">
        <v>133</v>
      </c>
      <c r="E72" s="217">
        <v>6395.7</v>
      </c>
      <c r="F72" s="217">
        <f t="shared" si="0"/>
        <v>6395.7</v>
      </c>
      <c r="G72" s="225">
        <v>6395.7</v>
      </c>
      <c r="H72" s="231">
        <v>0</v>
      </c>
      <c r="I72" s="225">
        <v>0</v>
      </c>
      <c r="J72" s="225">
        <v>0</v>
      </c>
      <c r="K72" s="333">
        <f t="shared" si="1"/>
        <v>100</v>
      </c>
    </row>
    <row r="73" spans="1:11" s="72" customFormat="1" ht="33" customHeight="1">
      <c r="A73" s="155">
        <v>756</v>
      </c>
      <c r="B73" s="152"/>
      <c r="C73" s="152"/>
      <c r="D73" s="153" t="s">
        <v>61</v>
      </c>
      <c r="E73" s="216">
        <f>E74+E80</f>
        <v>6362309</v>
      </c>
      <c r="F73" s="513">
        <f t="shared" si="0"/>
        <v>3128776.78</v>
      </c>
      <c r="G73" s="224">
        <f>G74+G80</f>
        <v>3128776.78</v>
      </c>
      <c r="H73" s="224">
        <f>H74+H80</f>
        <v>0</v>
      </c>
      <c r="I73" s="224">
        <v>0</v>
      </c>
      <c r="J73" s="224">
        <v>0</v>
      </c>
      <c r="K73" s="334">
        <f t="shared" si="1"/>
        <v>49.176749824631273</v>
      </c>
    </row>
    <row r="74" spans="1:11" s="72" customFormat="1" ht="22.5" customHeight="1">
      <c r="A74" s="401" t="s">
        <v>12</v>
      </c>
      <c r="B74" s="190">
        <v>75618</v>
      </c>
      <c r="C74" s="190"/>
      <c r="D74" s="167" t="s">
        <v>168</v>
      </c>
      <c r="E74" s="221">
        <f>SUM(E75:E79)</f>
        <v>1448820</v>
      </c>
      <c r="F74" s="221">
        <f t="shared" si="0"/>
        <v>990378.29999999993</v>
      </c>
      <c r="G74" s="229">
        <f>SUM(G75:G79)</f>
        <v>990378.29999999993</v>
      </c>
      <c r="H74" s="519">
        <v>0</v>
      </c>
      <c r="I74" s="225">
        <v>0</v>
      </c>
      <c r="J74" s="225">
        <v>0</v>
      </c>
      <c r="K74" s="333">
        <f t="shared" si="1"/>
        <v>68.357580651840806</v>
      </c>
    </row>
    <row r="75" spans="1:11" s="72" customFormat="1" ht="12">
      <c r="A75" s="402"/>
      <c r="B75" s="421"/>
      <c r="C75" s="156" t="s">
        <v>18</v>
      </c>
      <c r="D75" s="157" t="s">
        <v>19</v>
      </c>
      <c r="E75" s="218">
        <v>795820</v>
      </c>
      <c r="F75" s="217">
        <f t="shared" si="0"/>
        <v>373795</v>
      </c>
      <c r="G75" s="226">
        <v>373795</v>
      </c>
      <c r="H75" s="231">
        <v>0</v>
      </c>
      <c r="I75" s="225">
        <v>0</v>
      </c>
      <c r="J75" s="225">
        <v>0</v>
      </c>
      <c r="K75" s="333">
        <f t="shared" si="1"/>
        <v>46.969792164057203</v>
      </c>
    </row>
    <row r="76" spans="1:11" s="72" customFormat="1" ht="22.5" customHeight="1">
      <c r="A76" s="402"/>
      <c r="B76" s="422"/>
      <c r="C76" s="156" t="s">
        <v>169</v>
      </c>
      <c r="D76" s="157" t="s">
        <v>212</v>
      </c>
      <c r="E76" s="218">
        <v>630000</v>
      </c>
      <c r="F76" s="217">
        <f t="shared" si="0"/>
        <v>608680.62</v>
      </c>
      <c r="G76" s="226">
        <v>608680.62</v>
      </c>
      <c r="H76" s="231">
        <v>0</v>
      </c>
      <c r="I76" s="225">
        <v>0</v>
      </c>
      <c r="J76" s="225">
        <v>0</v>
      </c>
      <c r="K76" s="333">
        <f t="shared" si="1"/>
        <v>96.615971428571427</v>
      </c>
    </row>
    <row r="77" spans="1:11" s="72" customFormat="1" ht="12">
      <c r="A77" s="402"/>
      <c r="B77" s="422"/>
      <c r="C77" s="156" t="s">
        <v>37</v>
      </c>
      <c r="D77" s="121" t="s">
        <v>38</v>
      </c>
      <c r="E77" s="218">
        <v>20000</v>
      </c>
      <c r="F77" s="217">
        <f t="shared" ref="F77:F140" si="8">G77+I77</f>
        <v>5322.85</v>
      </c>
      <c r="G77" s="226">
        <v>5322.85</v>
      </c>
      <c r="H77" s="328">
        <v>0</v>
      </c>
      <c r="I77" s="225">
        <v>0</v>
      </c>
      <c r="J77" s="225">
        <v>0</v>
      </c>
      <c r="K77" s="333">
        <f t="shared" si="1"/>
        <v>26.614250000000002</v>
      </c>
    </row>
    <row r="78" spans="1:11" s="72" customFormat="1" ht="35.25" customHeight="1">
      <c r="A78" s="402"/>
      <c r="B78" s="422"/>
      <c r="C78" s="158" t="s">
        <v>21</v>
      </c>
      <c r="D78" s="118" t="s">
        <v>166</v>
      </c>
      <c r="E78" s="221">
        <v>3000</v>
      </c>
      <c r="F78" s="217">
        <f t="shared" si="8"/>
        <v>1950</v>
      </c>
      <c r="G78" s="229">
        <v>1950</v>
      </c>
      <c r="H78" s="231">
        <v>0</v>
      </c>
      <c r="I78" s="225">
        <v>0</v>
      </c>
      <c r="J78" s="225">
        <v>0</v>
      </c>
      <c r="K78" s="333">
        <f t="shared" ref="K78:K146" si="9">(G78+I78)/E78*100</f>
        <v>65</v>
      </c>
    </row>
    <row r="79" spans="1:11" s="72" customFormat="1" ht="10.5" customHeight="1">
      <c r="A79" s="402"/>
      <c r="B79" s="423"/>
      <c r="C79" s="159" t="s">
        <v>190</v>
      </c>
      <c r="D79" s="118" t="s">
        <v>193</v>
      </c>
      <c r="E79" s="218">
        <v>0</v>
      </c>
      <c r="F79" s="217">
        <f t="shared" si="8"/>
        <v>629.83000000000004</v>
      </c>
      <c r="G79" s="226">
        <v>629.83000000000004</v>
      </c>
      <c r="H79" s="231">
        <v>0</v>
      </c>
      <c r="I79" s="225">
        <v>0</v>
      </c>
      <c r="J79" s="225">
        <v>0</v>
      </c>
      <c r="K79" s="333"/>
    </row>
    <row r="80" spans="1:11" s="72" customFormat="1" ht="22.5">
      <c r="A80" s="402"/>
      <c r="B80" s="203">
        <v>75622</v>
      </c>
      <c r="C80" s="183"/>
      <c r="D80" s="160" t="s">
        <v>79</v>
      </c>
      <c r="E80" s="219">
        <f>E81+E82</f>
        <v>4913489</v>
      </c>
      <c r="F80" s="217">
        <f t="shared" si="8"/>
        <v>2138398.48</v>
      </c>
      <c r="G80" s="227">
        <f>G81+G82</f>
        <v>2138398.48</v>
      </c>
      <c r="H80" s="231">
        <v>0</v>
      </c>
      <c r="I80" s="225">
        <v>0</v>
      </c>
      <c r="J80" s="225">
        <v>0</v>
      </c>
      <c r="K80" s="333">
        <f t="shared" si="9"/>
        <v>43.520978270227126</v>
      </c>
    </row>
    <row r="81" spans="1:11" s="72" customFormat="1" ht="12">
      <c r="A81" s="402"/>
      <c r="B81" s="424"/>
      <c r="C81" s="149" t="s">
        <v>16</v>
      </c>
      <c r="D81" s="121" t="s">
        <v>15</v>
      </c>
      <c r="E81" s="217">
        <v>4813489</v>
      </c>
      <c r="F81" s="217">
        <f t="shared" si="8"/>
        <v>2062135</v>
      </c>
      <c r="G81" s="225">
        <v>2062135</v>
      </c>
      <c r="H81" s="231">
        <v>0</v>
      </c>
      <c r="I81" s="225">
        <v>0</v>
      </c>
      <c r="J81" s="225">
        <v>0</v>
      </c>
      <c r="K81" s="333">
        <f t="shared" si="9"/>
        <v>42.840754388344919</v>
      </c>
    </row>
    <row r="82" spans="1:11" s="72" customFormat="1" ht="12">
      <c r="A82" s="402"/>
      <c r="B82" s="425"/>
      <c r="C82" s="149" t="s">
        <v>52</v>
      </c>
      <c r="D82" s="121" t="s">
        <v>53</v>
      </c>
      <c r="E82" s="217">
        <v>100000</v>
      </c>
      <c r="F82" s="217">
        <f t="shared" si="8"/>
        <v>76263.48</v>
      </c>
      <c r="G82" s="225">
        <v>76263.48</v>
      </c>
      <c r="H82" s="231">
        <v>0</v>
      </c>
      <c r="I82" s="225">
        <v>0</v>
      </c>
      <c r="J82" s="225">
        <v>0</v>
      </c>
      <c r="K82" s="333">
        <f t="shared" si="9"/>
        <v>76.263480000000001</v>
      </c>
    </row>
    <row r="83" spans="1:11" s="72" customFormat="1" ht="12">
      <c r="A83" s="161">
        <v>758</v>
      </c>
      <c r="B83" s="152"/>
      <c r="C83" s="150"/>
      <c r="D83" s="151" t="s">
        <v>33</v>
      </c>
      <c r="E83" s="216">
        <f>E84+E86+E88+E90</f>
        <v>27667321</v>
      </c>
      <c r="F83" s="513">
        <f t="shared" si="8"/>
        <v>15984860.779999999</v>
      </c>
      <c r="G83" s="224">
        <f>G84+G86+G88+G90</f>
        <v>15984860.779999999</v>
      </c>
      <c r="H83" s="224">
        <f>H84+H86+H88+H90</f>
        <v>0</v>
      </c>
      <c r="I83" s="224">
        <v>0</v>
      </c>
      <c r="J83" s="224">
        <v>0</v>
      </c>
      <c r="K83" s="334">
        <f t="shared" si="9"/>
        <v>57.77523880971345</v>
      </c>
    </row>
    <row r="84" spans="1:11" s="72" customFormat="1" ht="12">
      <c r="A84" s="400"/>
      <c r="B84" s="184">
        <v>75801</v>
      </c>
      <c r="C84" s="149"/>
      <c r="D84" s="121" t="s">
        <v>80</v>
      </c>
      <c r="E84" s="217">
        <f>E85</f>
        <v>18292142</v>
      </c>
      <c r="F84" s="217">
        <f t="shared" si="8"/>
        <v>11256704</v>
      </c>
      <c r="G84" s="225">
        <f>G85</f>
        <v>11256704</v>
      </c>
      <c r="H84" s="231">
        <v>0</v>
      </c>
      <c r="I84" s="225">
        <v>0</v>
      </c>
      <c r="J84" s="225">
        <v>0</v>
      </c>
      <c r="K84" s="333">
        <f t="shared" si="9"/>
        <v>61.538468266865628</v>
      </c>
    </row>
    <row r="85" spans="1:11" s="72" customFormat="1" ht="12">
      <c r="A85" s="400"/>
      <c r="B85" s="184"/>
      <c r="C85" s="184">
        <v>2920</v>
      </c>
      <c r="D85" s="121" t="s">
        <v>17</v>
      </c>
      <c r="E85" s="217">
        <v>18292142</v>
      </c>
      <c r="F85" s="217">
        <f t="shared" si="8"/>
        <v>11256704</v>
      </c>
      <c r="G85" s="225">
        <v>11256704</v>
      </c>
      <c r="H85" s="231">
        <v>0</v>
      </c>
      <c r="I85" s="225">
        <v>0</v>
      </c>
      <c r="J85" s="225">
        <v>0</v>
      </c>
      <c r="K85" s="333">
        <f t="shared" si="9"/>
        <v>61.538468266865628</v>
      </c>
    </row>
    <row r="86" spans="1:11" s="72" customFormat="1" ht="12">
      <c r="A86" s="400"/>
      <c r="B86" s="184">
        <v>75803</v>
      </c>
      <c r="C86" s="149"/>
      <c r="D86" s="121" t="s">
        <v>81</v>
      </c>
      <c r="E86" s="217">
        <f>E87</f>
        <v>6370975</v>
      </c>
      <c r="F86" s="217">
        <f t="shared" si="8"/>
        <v>3185490</v>
      </c>
      <c r="G86" s="225">
        <f>G87</f>
        <v>3185490</v>
      </c>
      <c r="H86" s="231">
        <v>0</v>
      </c>
      <c r="I86" s="225">
        <v>0</v>
      </c>
      <c r="J86" s="225">
        <v>0</v>
      </c>
      <c r="K86" s="333">
        <f t="shared" si="9"/>
        <v>50.000039240461625</v>
      </c>
    </row>
    <row r="87" spans="1:11" s="72" customFormat="1" ht="12">
      <c r="A87" s="400"/>
      <c r="B87" s="184"/>
      <c r="C87" s="184">
        <v>2920</v>
      </c>
      <c r="D87" s="121" t="s">
        <v>17</v>
      </c>
      <c r="E87" s="217">
        <v>6370975</v>
      </c>
      <c r="F87" s="217">
        <f t="shared" si="8"/>
        <v>3185490</v>
      </c>
      <c r="G87" s="225">
        <v>3185490</v>
      </c>
      <c r="H87" s="231">
        <v>0</v>
      </c>
      <c r="I87" s="225">
        <v>0</v>
      </c>
      <c r="J87" s="225">
        <v>0</v>
      </c>
      <c r="K87" s="333">
        <f t="shared" si="9"/>
        <v>50.000039240461625</v>
      </c>
    </row>
    <row r="88" spans="1:11" s="72" customFormat="1" ht="12">
      <c r="A88" s="400"/>
      <c r="B88" s="184">
        <v>75814</v>
      </c>
      <c r="C88" s="184"/>
      <c r="D88" s="121" t="s">
        <v>82</v>
      </c>
      <c r="E88" s="217">
        <f>E89</f>
        <v>60000</v>
      </c>
      <c r="F88" s="217">
        <f t="shared" si="8"/>
        <v>70566.78</v>
      </c>
      <c r="G88" s="225">
        <f>G89</f>
        <v>70566.78</v>
      </c>
      <c r="H88" s="231">
        <v>0</v>
      </c>
      <c r="I88" s="225">
        <v>0</v>
      </c>
      <c r="J88" s="225">
        <v>0</v>
      </c>
      <c r="K88" s="333">
        <f t="shared" si="9"/>
        <v>117.6113</v>
      </c>
    </row>
    <row r="89" spans="1:11" s="72" customFormat="1" ht="12">
      <c r="A89" s="400"/>
      <c r="B89" s="184"/>
      <c r="C89" s="149" t="s">
        <v>49</v>
      </c>
      <c r="D89" s="121" t="s">
        <v>59</v>
      </c>
      <c r="E89" s="217">
        <v>60000</v>
      </c>
      <c r="F89" s="217">
        <f t="shared" si="8"/>
        <v>70566.78</v>
      </c>
      <c r="G89" s="225">
        <v>70566.78</v>
      </c>
      <c r="H89" s="231">
        <v>0</v>
      </c>
      <c r="I89" s="225">
        <v>0</v>
      </c>
      <c r="J89" s="225">
        <v>0</v>
      </c>
      <c r="K89" s="333">
        <f t="shared" si="9"/>
        <v>117.6113</v>
      </c>
    </row>
    <row r="90" spans="1:11" s="72" customFormat="1" ht="12">
      <c r="A90" s="400"/>
      <c r="B90" s="184">
        <v>75832</v>
      </c>
      <c r="C90" s="149"/>
      <c r="D90" s="121" t="s">
        <v>83</v>
      </c>
      <c r="E90" s="217">
        <f>E91</f>
        <v>2944204</v>
      </c>
      <c r="F90" s="217">
        <f t="shared" si="8"/>
        <v>1472100</v>
      </c>
      <c r="G90" s="225">
        <f>G91</f>
        <v>1472100</v>
      </c>
      <c r="H90" s="231">
        <v>0</v>
      </c>
      <c r="I90" s="225">
        <v>0</v>
      </c>
      <c r="J90" s="225">
        <v>0</v>
      </c>
      <c r="K90" s="333">
        <f t="shared" si="9"/>
        <v>49.999932069924505</v>
      </c>
    </row>
    <row r="91" spans="1:11" s="72" customFormat="1" ht="12">
      <c r="A91" s="400"/>
      <c r="B91" s="184"/>
      <c r="C91" s="184">
        <v>2920</v>
      </c>
      <c r="D91" s="121" t="s">
        <v>17</v>
      </c>
      <c r="E91" s="217">
        <v>2944204</v>
      </c>
      <c r="F91" s="217">
        <f t="shared" si="8"/>
        <v>1472100</v>
      </c>
      <c r="G91" s="225">
        <v>1472100</v>
      </c>
      <c r="H91" s="231">
        <v>0</v>
      </c>
      <c r="I91" s="225">
        <v>0</v>
      </c>
      <c r="J91" s="225">
        <v>0</v>
      </c>
      <c r="K91" s="333">
        <f t="shared" si="9"/>
        <v>49.999932069924505</v>
      </c>
    </row>
    <row r="92" spans="1:11" s="72" customFormat="1" ht="12">
      <c r="A92" s="155">
        <v>801</v>
      </c>
      <c r="B92" s="152"/>
      <c r="C92" s="152"/>
      <c r="D92" s="151" t="s">
        <v>54</v>
      </c>
      <c r="E92" s="216">
        <f>E93+E100+E109+E115+E119+E98</f>
        <v>811947.26</v>
      </c>
      <c r="F92" s="513">
        <f t="shared" si="8"/>
        <v>382734.54</v>
      </c>
      <c r="G92" s="224">
        <f>G93+G100+G109+G115+G119</f>
        <v>382734.54</v>
      </c>
      <c r="H92" s="224">
        <f>H93+H100+H109+H115+H119</f>
        <v>0</v>
      </c>
      <c r="I92" s="224">
        <f>I93+I100+I109+I115+I119</f>
        <v>0</v>
      </c>
      <c r="J92" s="224">
        <f>J93+J100+J109+J115+J119</f>
        <v>0</v>
      </c>
      <c r="K92" s="334">
        <f t="shared" si="9"/>
        <v>47.137857205158859</v>
      </c>
    </row>
    <row r="93" spans="1:11" s="72" customFormat="1" ht="12">
      <c r="A93" s="401"/>
      <c r="B93" s="185">
        <v>80102</v>
      </c>
      <c r="C93" s="184"/>
      <c r="D93" s="121" t="s">
        <v>41</v>
      </c>
      <c r="E93" s="217">
        <f>SUM(E94:E97)</f>
        <v>76124.990000000005</v>
      </c>
      <c r="F93" s="217">
        <f t="shared" si="8"/>
        <v>13833.59</v>
      </c>
      <c r="G93" s="225">
        <f>SUM(G94:G97)</f>
        <v>13833.59</v>
      </c>
      <c r="H93" s="231">
        <v>0</v>
      </c>
      <c r="I93" s="225">
        <v>0</v>
      </c>
      <c r="J93" s="225">
        <v>0</v>
      </c>
      <c r="K93" s="333">
        <f t="shared" si="9"/>
        <v>18.172205999632972</v>
      </c>
    </row>
    <row r="94" spans="1:11" s="72" customFormat="1" ht="33.75" customHeight="1">
      <c r="A94" s="402"/>
      <c r="B94" s="418"/>
      <c r="C94" s="149" t="s">
        <v>21</v>
      </c>
      <c r="D94" s="118" t="s">
        <v>166</v>
      </c>
      <c r="E94" s="217">
        <v>5800</v>
      </c>
      <c r="F94" s="217">
        <f t="shared" si="8"/>
        <v>1980</v>
      </c>
      <c r="G94" s="225">
        <v>1980</v>
      </c>
      <c r="H94" s="231">
        <v>0</v>
      </c>
      <c r="I94" s="225">
        <v>0</v>
      </c>
      <c r="J94" s="225">
        <v>0</v>
      </c>
      <c r="K94" s="333">
        <f t="shared" si="9"/>
        <v>34.137931034482762</v>
      </c>
    </row>
    <row r="95" spans="1:11" s="72" customFormat="1" ht="12">
      <c r="A95" s="402"/>
      <c r="B95" s="419"/>
      <c r="C95" s="149" t="s">
        <v>49</v>
      </c>
      <c r="D95" s="118" t="s">
        <v>59</v>
      </c>
      <c r="E95" s="217">
        <v>450</v>
      </c>
      <c r="F95" s="217">
        <f t="shared" si="8"/>
        <v>261.27999999999997</v>
      </c>
      <c r="G95" s="225">
        <v>261.27999999999997</v>
      </c>
      <c r="H95" s="231">
        <v>0</v>
      </c>
      <c r="I95" s="225">
        <v>0</v>
      </c>
      <c r="J95" s="225">
        <v>0</v>
      </c>
      <c r="K95" s="333">
        <f t="shared" si="9"/>
        <v>58.062222222222218</v>
      </c>
    </row>
    <row r="96" spans="1:11" s="72" customFormat="1" ht="12">
      <c r="A96" s="402"/>
      <c r="B96" s="419"/>
      <c r="C96" s="149" t="s">
        <v>56</v>
      </c>
      <c r="D96" s="118" t="s">
        <v>58</v>
      </c>
      <c r="E96" s="217">
        <v>6024.99</v>
      </c>
      <c r="F96" s="217">
        <f t="shared" si="8"/>
        <v>11592.31</v>
      </c>
      <c r="G96" s="225">
        <v>11592.31</v>
      </c>
      <c r="H96" s="231">
        <v>0</v>
      </c>
      <c r="I96" s="225">
        <v>0</v>
      </c>
      <c r="J96" s="225">
        <v>0</v>
      </c>
      <c r="K96" s="333">
        <f t="shared" si="9"/>
        <v>192.40380481959306</v>
      </c>
    </row>
    <row r="97" spans="1:11" s="72" customFormat="1" ht="23.25" customHeight="1">
      <c r="A97" s="402"/>
      <c r="B97" s="420"/>
      <c r="C97" s="149">
        <v>6430</v>
      </c>
      <c r="D97" s="118" t="s">
        <v>217</v>
      </c>
      <c r="E97" s="217">
        <v>63850</v>
      </c>
      <c r="F97" s="217">
        <f t="shared" si="8"/>
        <v>0</v>
      </c>
      <c r="G97" s="225">
        <v>0</v>
      </c>
      <c r="H97" s="231">
        <v>0</v>
      </c>
      <c r="I97" s="225">
        <v>0</v>
      </c>
      <c r="J97" s="225">
        <v>0</v>
      </c>
      <c r="K97" s="333">
        <f t="shared" si="9"/>
        <v>0</v>
      </c>
    </row>
    <row r="98" spans="1:11" s="72" customFormat="1" ht="12">
      <c r="A98" s="402"/>
      <c r="B98" s="205">
        <v>80111</v>
      </c>
      <c r="C98" s="149"/>
      <c r="D98" s="118" t="s">
        <v>111</v>
      </c>
      <c r="E98" s="217">
        <f>E99</f>
        <v>446889.27</v>
      </c>
      <c r="F98" s="217">
        <f t="shared" si="8"/>
        <v>0</v>
      </c>
      <c r="G98" s="225">
        <v>0</v>
      </c>
      <c r="H98" s="231">
        <v>0</v>
      </c>
      <c r="I98" s="225">
        <v>0</v>
      </c>
      <c r="J98" s="225">
        <v>0</v>
      </c>
      <c r="K98" s="333">
        <f t="shared" si="9"/>
        <v>0</v>
      </c>
    </row>
    <row r="99" spans="1:11" s="72" customFormat="1" ht="44.25" customHeight="1">
      <c r="A99" s="402"/>
      <c r="B99" s="205"/>
      <c r="C99" s="149">
        <v>6207</v>
      </c>
      <c r="D99" s="118" t="s">
        <v>312</v>
      </c>
      <c r="E99" s="217">
        <v>446889.27</v>
      </c>
      <c r="F99" s="217">
        <f t="shared" si="8"/>
        <v>0</v>
      </c>
      <c r="G99" s="225">
        <v>0</v>
      </c>
      <c r="H99" s="231">
        <v>0</v>
      </c>
      <c r="I99" s="225">
        <v>0</v>
      </c>
      <c r="J99" s="225">
        <v>0</v>
      </c>
      <c r="K99" s="333">
        <f t="shared" si="9"/>
        <v>0</v>
      </c>
    </row>
    <row r="100" spans="1:11" s="72" customFormat="1" ht="12">
      <c r="A100" s="402"/>
      <c r="B100" s="185">
        <v>80120</v>
      </c>
      <c r="C100" s="184"/>
      <c r="D100" s="121" t="s">
        <v>47</v>
      </c>
      <c r="E100" s="221">
        <f>SUM(E101:E108)</f>
        <v>61747</v>
      </c>
      <c r="F100" s="221">
        <f t="shared" si="8"/>
        <v>163479.85</v>
      </c>
      <c r="G100" s="221">
        <f>SUM(G101:G108)</f>
        <v>163479.85</v>
      </c>
      <c r="H100" s="231">
        <v>0</v>
      </c>
      <c r="I100" s="228">
        <f>SUM(I101:I107)</f>
        <v>0</v>
      </c>
      <c r="J100" s="228">
        <f>SUM(J101:J107)</f>
        <v>0</v>
      </c>
      <c r="K100" s="333">
        <f t="shared" si="9"/>
        <v>264.75755907169577</v>
      </c>
    </row>
    <row r="101" spans="1:11" s="72" customFormat="1" ht="12">
      <c r="A101" s="402"/>
      <c r="B101" s="401"/>
      <c r="C101" s="149" t="s">
        <v>37</v>
      </c>
      <c r="D101" s="121" t="s">
        <v>38</v>
      </c>
      <c r="E101" s="217">
        <v>572</v>
      </c>
      <c r="F101" s="217">
        <f t="shared" si="8"/>
        <v>212.83</v>
      </c>
      <c r="G101" s="225">
        <v>212.83</v>
      </c>
      <c r="H101" s="231">
        <v>0</v>
      </c>
      <c r="I101" s="225">
        <v>0</v>
      </c>
      <c r="J101" s="225">
        <v>0</v>
      </c>
      <c r="K101" s="333">
        <f t="shared" si="9"/>
        <v>37.20804195804196</v>
      </c>
    </row>
    <row r="102" spans="1:11" s="72" customFormat="1" ht="35.25" customHeight="1">
      <c r="A102" s="402"/>
      <c r="B102" s="402"/>
      <c r="C102" s="149" t="s">
        <v>21</v>
      </c>
      <c r="D102" s="118" t="s">
        <v>166</v>
      </c>
      <c r="E102" s="217">
        <v>54124</v>
      </c>
      <c r="F102" s="217">
        <f t="shared" si="8"/>
        <v>32585.65</v>
      </c>
      <c r="G102" s="225">
        <v>32585.65</v>
      </c>
      <c r="H102" s="231">
        <v>0</v>
      </c>
      <c r="I102" s="225">
        <v>0</v>
      </c>
      <c r="J102" s="225">
        <v>0</v>
      </c>
      <c r="K102" s="333">
        <f t="shared" si="9"/>
        <v>60.205546522799501</v>
      </c>
    </row>
    <row r="103" spans="1:11" s="72" customFormat="1" ht="12">
      <c r="A103" s="402"/>
      <c r="B103" s="402"/>
      <c r="C103" s="149" t="s">
        <v>55</v>
      </c>
      <c r="D103" s="118" t="s">
        <v>57</v>
      </c>
      <c r="E103" s="217">
        <v>600</v>
      </c>
      <c r="F103" s="217">
        <f t="shared" si="8"/>
        <v>882</v>
      </c>
      <c r="G103" s="225">
        <v>882</v>
      </c>
      <c r="H103" s="231">
        <v>0</v>
      </c>
      <c r="I103" s="225">
        <v>0</v>
      </c>
      <c r="J103" s="225">
        <v>0</v>
      </c>
      <c r="K103" s="333">
        <f t="shared" si="9"/>
        <v>147</v>
      </c>
    </row>
    <row r="104" spans="1:11" s="72" customFormat="1" ht="12.75" customHeight="1">
      <c r="A104" s="402"/>
      <c r="B104" s="402"/>
      <c r="C104" s="149" t="s">
        <v>191</v>
      </c>
      <c r="D104" s="118" t="s">
        <v>194</v>
      </c>
      <c r="E104" s="217">
        <v>0</v>
      </c>
      <c r="F104" s="217">
        <f t="shared" si="8"/>
        <v>8</v>
      </c>
      <c r="G104" s="225">
        <v>8</v>
      </c>
      <c r="H104" s="231">
        <v>0</v>
      </c>
      <c r="I104" s="225">
        <v>0</v>
      </c>
      <c r="J104" s="225">
        <v>0</v>
      </c>
      <c r="K104" s="333"/>
    </row>
    <row r="105" spans="1:11" s="72" customFormat="1" ht="44.25" customHeight="1">
      <c r="A105" s="402"/>
      <c r="B105" s="402"/>
      <c r="C105" s="149" t="s">
        <v>192</v>
      </c>
      <c r="D105" s="118" t="s">
        <v>311</v>
      </c>
      <c r="E105" s="217">
        <v>0</v>
      </c>
      <c r="F105" s="217">
        <f t="shared" si="8"/>
        <v>22235.599999999999</v>
      </c>
      <c r="G105" s="225">
        <v>22235.599999999999</v>
      </c>
      <c r="H105" s="231">
        <v>0</v>
      </c>
      <c r="I105" s="225">
        <v>0</v>
      </c>
      <c r="J105" s="225">
        <v>0</v>
      </c>
      <c r="K105" s="333"/>
    </row>
    <row r="106" spans="1:11" s="72" customFormat="1" ht="12">
      <c r="A106" s="402"/>
      <c r="B106" s="402"/>
      <c r="C106" s="149" t="s">
        <v>49</v>
      </c>
      <c r="D106" s="118" t="s">
        <v>59</v>
      </c>
      <c r="E106" s="217">
        <v>920</v>
      </c>
      <c r="F106" s="217">
        <f t="shared" si="8"/>
        <v>422.16</v>
      </c>
      <c r="G106" s="225">
        <v>422.16</v>
      </c>
      <c r="H106" s="328">
        <v>0</v>
      </c>
      <c r="I106" s="225">
        <v>0</v>
      </c>
      <c r="J106" s="225">
        <v>0</v>
      </c>
      <c r="K106" s="333">
        <f t="shared" si="9"/>
        <v>45.88695652173913</v>
      </c>
    </row>
    <row r="107" spans="1:11" s="72" customFormat="1" ht="12">
      <c r="A107" s="402"/>
      <c r="B107" s="402"/>
      <c r="C107" s="149" t="s">
        <v>56</v>
      </c>
      <c r="D107" s="118" t="s">
        <v>58</v>
      </c>
      <c r="E107" s="217">
        <v>5531</v>
      </c>
      <c r="F107" s="217">
        <f t="shared" si="8"/>
        <v>2374.67</v>
      </c>
      <c r="G107" s="225">
        <v>2374.67</v>
      </c>
      <c r="H107" s="231">
        <v>0</v>
      </c>
      <c r="I107" s="225">
        <v>0</v>
      </c>
      <c r="J107" s="225">
        <v>0</v>
      </c>
      <c r="K107" s="333">
        <f t="shared" si="9"/>
        <v>42.933827517627918</v>
      </c>
    </row>
    <row r="108" spans="1:11" s="72" customFormat="1" ht="44.25" customHeight="1">
      <c r="A108" s="402"/>
      <c r="B108" s="403"/>
      <c r="C108" s="149">
        <v>2910</v>
      </c>
      <c r="D108" s="118" t="s">
        <v>214</v>
      </c>
      <c r="E108" s="217">
        <v>0</v>
      </c>
      <c r="F108" s="217">
        <f t="shared" si="8"/>
        <v>104758.94</v>
      </c>
      <c r="G108" s="225">
        <v>104758.94</v>
      </c>
      <c r="H108" s="231">
        <v>0</v>
      </c>
      <c r="I108" s="225">
        <v>0</v>
      </c>
      <c r="J108" s="225">
        <v>0</v>
      </c>
      <c r="K108" s="333"/>
    </row>
    <row r="109" spans="1:11" s="72" customFormat="1" ht="12">
      <c r="A109" s="402"/>
      <c r="B109" s="207">
        <v>80130</v>
      </c>
      <c r="C109" s="184"/>
      <c r="D109" s="121" t="s">
        <v>43</v>
      </c>
      <c r="E109" s="221">
        <f>SUM(E110:E114)</f>
        <v>57186</v>
      </c>
      <c r="F109" s="221">
        <f t="shared" si="8"/>
        <v>56740.999999999993</v>
      </c>
      <c r="G109" s="229">
        <f>SUM(G110:G114)</f>
        <v>56740.999999999993</v>
      </c>
      <c r="H109" s="231">
        <v>0</v>
      </c>
      <c r="I109" s="225">
        <v>0</v>
      </c>
      <c r="J109" s="225">
        <v>0</v>
      </c>
      <c r="K109" s="333">
        <f t="shared" si="9"/>
        <v>99.221837512677908</v>
      </c>
    </row>
    <row r="110" spans="1:11" s="72" customFormat="1" ht="12">
      <c r="A110" s="402"/>
      <c r="B110" s="402"/>
      <c r="C110" s="158" t="s">
        <v>37</v>
      </c>
      <c r="D110" s="121" t="s">
        <v>38</v>
      </c>
      <c r="E110" s="217">
        <v>1511</v>
      </c>
      <c r="F110" s="217">
        <f t="shared" si="8"/>
        <v>1046.17</v>
      </c>
      <c r="G110" s="225">
        <v>1046.17</v>
      </c>
      <c r="H110" s="231">
        <v>0</v>
      </c>
      <c r="I110" s="225">
        <v>0</v>
      </c>
      <c r="J110" s="225">
        <v>0</v>
      </c>
      <c r="K110" s="333">
        <f t="shared" si="9"/>
        <v>69.236929185969558</v>
      </c>
    </row>
    <row r="111" spans="1:11" s="72" customFormat="1" ht="33.75" customHeight="1">
      <c r="A111" s="402"/>
      <c r="B111" s="402"/>
      <c r="C111" s="158" t="s">
        <v>21</v>
      </c>
      <c r="D111" s="118" t="s">
        <v>166</v>
      </c>
      <c r="E111" s="217">
        <v>40843</v>
      </c>
      <c r="F111" s="217">
        <f t="shared" si="8"/>
        <v>39371.14</v>
      </c>
      <c r="G111" s="225">
        <v>39371.14</v>
      </c>
      <c r="H111" s="231">
        <v>0</v>
      </c>
      <c r="I111" s="225">
        <v>0</v>
      </c>
      <c r="J111" s="225">
        <v>0</v>
      </c>
      <c r="K111" s="333">
        <f t="shared" si="9"/>
        <v>96.396298019244426</v>
      </c>
    </row>
    <row r="112" spans="1:11" s="72" customFormat="1" ht="12">
      <c r="A112" s="402"/>
      <c r="B112" s="402"/>
      <c r="C112" s="158" t="s">
        <v>55</v>
      </c>
      <c r="D112" s="118" t="s">
        <v>57</v>
      </c>
      <c r="E112" s="217">
        <v>5000</v>
      </c>
      <c r="F112" s="217">
        <f t="shared" si="8"/>
        <v>8345.56</v>
      </c>
      <c r="G112" s="225">
        <v>8345.56</v>
      </c>
      <c r="H112" s="231">
        <v>0</v>
      </c>
      <c r="I112" s="225">
        <v>0</v>
      </c>
      <c r="J112" s="225">
        <v>0</v>
      </c>
      <c r="K112" s="333">
        <f t="shared" si="9"/>
        <v>166.91119999999998</v>
      </c>
    </row>
    <row r="113" spans="1:11" s="72" customFormat="1" ht="12">
      <c r="A113" s="402"/>
      <c r="B113" s="402"/>
      <c r="C113" s="158" t="s">
        <v>49</v>
      </c>
      <c r="D113" s="118" t="s">
        <v>59</v>
      </c>
      <c r="E113" s="217">
        <v>2185</v>
      </c>
      <c r="F113" s="217">
        <f t="shared" si="8"/>
        <v>1121.03</v>
      </c>
      <c r="G113" s="225">
        <v>1121.03</v>
      </c>
      <c r="H113" s="231">
        <v>0</v>
      </c>
      <c r="I113" s="225">
        <v>0</v>
      </c>
      <c r="J113" s="225">
        <v>0</v>
      </c>
      <c r="K113" s="333">
        <f t="shared" si="9"/>
        <v>51.30572082379863</v>
      </c>
    </row>
    <row r="114" spans="1:11" s="72" customFormat="1" ht="12">
      <c r="A114" s="402"/>
      <c r="B114" s="402"/>
      <c r="C114" s="158" t="s">
        <v>56</v>
      </c>
      <c r="D114" s="118" t="s">
        <v>58</v>
      </c>
      <c r="E114" s="217">
        <v>7647</v>
      </c>
      <c r="F114" s="217">
        <f t="shared" si="8"/>
        <v>6857.1</v>
      </c>
      <c r="G114" s="225">
        <v>6857.1</v>
      </c>
      <c r="H114" s="231">
        <v>0</v>
      </c>
      <c r="I114" s="225">
        <v>0</v>
      </c>
      <c r="J114" s="225">
        <v>0</v>
      </c>
      <c r="K114" s="333">
        <f t="shared" si="9"/>
        <v>89.670459003530794</v>
      </c>
    </row>
    <row r="115" spans="1:11" s="72" customFormat="1" ht="22.5" customHeight="1">
      <c r="A115" s="402"/>
      <c r="B115" s="184">
        <v>80140</v>
      </c>
      <c r="C115" s="158"/>
      <c r="D115" s="118" t="s">
        <v>171</v>
      </c>
      <c r="E115" s="217">
        <f>E116+E117+E118</f>
        <v>50000</v>
      </c>
      <c r="F115" s="217">
        <f t="shared" si="8"/>
        <v>38948.899999999994</v>
      </c>
      <c r="G115" s="225">
        <f>SUM(G116:G118)</f>
        <v>38948.899999999994</v>
      </c>
      <c r="H115" s="231">
        <v>0</v>
      </c>
      <c r="I115" s="225">
        <v>0</v>
      </c>
      <c r="J115" s="225">
        <v>0</v>
      </c>
      <c r="K115" s="333">
        <f t="shared" si="9"/>
        <v>77.897799999999989</v>
      </c>
    </row>
    <row r="116" spans="1:11" s="72" customFormat="1" ht="23.25" customHeight="1">
      <c r="A116" s="402"/>
      <c r="B116" s="401"/>
      <c r="C116" s="158" t="s">
        <v>21</v>
      </c>
      <c r="D116" s="118" t="s">
        <v>166</v>
      </c>
      <c r="E116" s="217">
        <v>50000</v>
      </c>
      <c r="F116" s="217">
        <f t="shared" si="8"/>
        <v>20315.560000000001</v>
      </c>
      <c r="G116" s="225">
        <v>20315.560000000001</v>
      </c>
      <c r="H116" s="231">
        <v>0</v>
      </c>
      <c r="I116" s="225">
        <v>0</v>
      </c>
      <c r="J116" s="225">
        <v>0</v>
      </c>
      <c r="K116" s="333">
        <f t="shared" si="9"/>
        <v>40.631120000000003</v>
      </c>
    </row>
    <row r="117" spans="1:11" s="72" customFormat="1" ht="12">
      <c r="A117" s="402"/>
      <c r="B117" s="402"/>
      <c r="C117" s="158" t="s">
        <v>55</v>
      </c>
      <c r="D117" s="118" t="s">
        <v>57</v>
      </c>
      <c r="E117" s="217">
        <v>0</v>
      </c>
      <c r="F117" s="217">
        <f t="shared" si="8"/>
        <v>18440.5</v>
      </c>
      <c r="G117" s="225">
        <v>18440.5</v>
      </c>
      <c r="H117" s="231">
        <v>0</v>
      </c>
      <c r="I117" s="225">
        <v>0</v>
      </c>
      <c r="J117" s="225">
        <v>0</v>
      </c>
      <c r="K117" s="333"/>
    </row>
    <row r="118" spans="1:11" s="72" customFormat="1" ht="12">
      <c r="A118" s="402"/>
      <c r="B118" s="402"/>
      <c r="C118" s="158" t="s">
        <v>49</v>
      </c>
      <c r="D118" s="118" t="s">
        <v>59</v>
      </c>
      <c r="E118" s="217">
        <v>0</v>
      </c>
      <c r="F118" s="217">
        <f t="shared" si="8"/>
        <v>192.84</v>
      </c>
      <c r="G118" s="225">
        <v>192.84</v>
      </c>
      <c r="H118" s="231">
        <v>0</v>
      </c>
      <c r="I118" s="225">
        <v>0</v>
      </c>
      <c r="J118" s="225">
        <v>0</v>
      </c>
      <c r="K118" s="333"/>
    </row>
    <row r="119" spans="1:11" s="72" customFormat="1" ht="12">
      <c r="A119" s="402"/>
      <c r="B119" s="203">
        <v>80148</v>
      </c>
      <c r="C119" s="158"/>
      <c r="D119" s="118" t="s">
        <v>304</v>
      </c>
      <c r="E119" s="217">
        <f>E120</f>
        <v>120000</v>
      </c>
      <c r="F119" s="217">
        <f t="shared" si="8"/>
        <v>109731.2</v>
      </c>
      <c r="G119" s="225">
        <f>G120</f>
        <v>109731.2</v>
      </c>
      <c r="H119" s="231">
        <v>0</v>
      </c>
      <c r="I119" s="225">
        <v>0</v>
      </c>
      <c r="J119" s="225">
        <v>0</v>
      </c>
      <c r="K119" s="333">
        <f t="shared" si="9"/>
        <v>91.442666666666668</v>
      </c>
    </row>
    <row r="120" spans="1:11" s="72" customFormat="1" ht="12">
      <c r="A120" s="403"/>
      <c r="B120" s="183"/>
      <c r="C120" s="158" t="s">
        <v>55</v>
      </c>
      <c r="D120" s="118" t="s">
        <v>57</v>
      </c>
      <c r="E120" s="217">
        <v>120000</v>
      </c>
      <c r="F120" s="217">
        <f t="shared" si="8"/>
        <v>109731.2</v>
      </c>
      <c r="G120" s="225">
        <v>109731.2</v>
      </c>
      <c r="H120" s="231">
        <v>0</v>
      </c>
      <c r="I120" s="225">
        <v>0</v>
      </c>
      <c r="J120" s="225">
        <v>0</v>
      </c>
      <c r="K120" s="333">
        <f t="shared" si="9"/>
        <v>91.442666666666668</v>
      </c>
    </row>
    <row r="121" spans="1:11" s="72" customFormat="1" ht="12">
      <c r="A121" s="152">
        <v>851</v>
      </c>
      <c r="B121" s="152"/>
      <c r="C121" s="152"/>
      <c r="D121" s="151" t="s">
        <v>34</v>
      </c>
      <c r="E121" s="216">
        <f>E127+E122+E125</f>
        <v>2557320</v>
      </c>
      <c r="F121" s="513">
        <f t="shared" si="8"/>
        <v>1283998</v>
      </c>
      <c r="G121" s="216">
        <f t="shared" ref="G121:I121" si="10">G127+G122+G125</f>
        <v>1263998</v>
      </c>
      <c r="H121" s="216">
        <f t="shared" si="10"/>
        <v>0</v>
      </c>
      <c r="I121" s="216">
        <f t="shared" si="10"/>
        <v>20000</v>
      </c>
      <c r="J121" s="216">
        <f t="shared" ref="J121" si="11">J127+J122+J125</f>
        <v>0</v>
      </c>
      <c r="K121" s="334">
        <f t="shared" si="9"/>
        <v>50.208734143556534</v>
      </c>
    </row>
    <row r="122" spans="1:11" s="72" customFormat="1" ht="12">
      <c r="A122" s="421"/>
      <c r="B122" s="190">
        <v>85111</v>
      </c>
      <c r="C122" s="190"/>
      <c r="D122" s="214" t="s">
        <v>85</v>
      </c>
      <c r="E122" s="221">
        <f>E123+E124</f>
        <v>630820</v>
      </c>
      <c r="F122" s="217">
        <f t="shared" si="8"/>
        <v>20000</v>
      </c>
      <c r="G122" s="221">
        <f t="shared" ref="G122:I122" si="12">G123+G124</f>
        <v>0</v>
      </c>
      <c r="H122" s="231">
        <v>0</v>
      </c>
      <c r="I122" s="221">
        <f t="shared" si="12"/>
        <v>20000</v>
      </c>
      <c r="J122" s="221">
        <f t="shared" ref="J122" si="13">J123+J124</f>
        <v>0</v>
      </c>
      <c r="K122" s="333">
        <f t="shared" si="9"/>
        <v>3.17047652262135</v>
      </c>
    </row>
    <row r="123" spans="1:11" s="72" customFormat="1" ht="31.5" customHeight="1">
      <c r="A123" s="422"/>
      <c r="B123" s="517"/>
      <c r="C123" s="190">
        <v>6260</v>
      </c>
      <c r="D123" s="118" t="s">
        <v>216</v>
      </c>
      <c r="E123" s="221">
        <v>610820</v>
      </c>
      <c r="F123" s="217">
        <f t="shared" si="8"/>
        <v>0</v>
      </c>
      <c r="G123" s="229">
        <v>0</v>
      </c>
      <c r="H123" s="231">
        <v>0</v>
      </c>
      <c r="I123" s="229">
        <v>0</v>
      </c>
      <c r="J123" s="229">
        <v>0</v>
      </c>
      <c r="K123" s="333">
        <f t="shared" si="9"/>
        <v>0</v>
      </c>
    </row>
    <row r="124" spans="1:11" s="72" customFormat="1" ht="33.75" customHeight="1">
      <c r="A124" s="422"/>
      <c r="B124" s="518"/>
      <c r="C124" s="190">
        <v>6300</v>
      </c>
      <c r="D124" s="118" t="s">
        <v>310</v>
      </c>
      <c r="E124" s="221">
        <v>20000</v>
      </c>
      <c r="F124" s="217">
        <f t="shared" si="8"/>
        <v>20000</v>
      </c>
      <c r="G124" s="229">
        <v>0</v>
      </c>
      <c r="H124" s="231">
        <v>0</v>
      </c>
      <c r="I124" s="229">
        <v>20000</v>
      </c>
      <c r="J124" s="229">
        <v>0</v>
      </c>
      <c r="K124" s="333"/>
    </row>
    <row r="125" spans="1:11" s="72" customFormat="1" ht="12">
      <c r="A125" s="422"/>
      <c r="B125" s="190">
        <v>85132</v>
      </c>
      <c r="C125" s="190"/>
      <c r="D125" s="118" t="s">
        <v>305</v>
      </c>
      <c r="E125" s="221">
        <f>E126</f>
        <v>500</v>
      </c>
      <c r="F125" s="217">
        <f t="shared" si="8"/>
        <v>500</v>
      </c>
      <c r="G125" s="229">
        <f>G126</f>
        <v>500</v>
      </c>
      <c r="H125" s="231">
        <v>0</v>
      </c>
      <c r="I125" s="229">
        <v>0</v>
      </c>
      <c r="J125" s="229">
        <v>0</v>
      </c>
      <c r="K125" s="333"/>
    </row>
    <row r="126" spans="1:11" s="72" customFormat="1" ht="33.75" customHeight="1">
      <c r="A126" s="422"/>
      <c r="B126" s="190"/>
      <c r="C126" s="190">
        <v>2710</v>
      </c>
      <c r="D126" s="118" t="s">
        <v>309</v>
      </c>
      <c r="E126" s="221">
        <v>500</v>
      </c>
      <c r="F126" s="217">
        <f t="shared" si="8"/>
        <v>500</v>
      </c>
      <c r="G126" s="229">
        <v>500</v>
      </c>
      <c r="H126" s="231">
        <v>0</v>
      </c>
      <c r="I126" s="229">
        <v>0</v>
      </c>
      <c r="J126" s="229">
        <v>0</v>
      </c>
      <c r="K126" s="333"/>
    </row>
    <row r="127" spans="1:11" s="72" customFormat="1" ht="24" customHeight="1">
      <c r="A127" s="422"/>
      <c r="B127" s="184">
        <v>85156</v>
      </c>
      <c r="C127" s="184"/>
      <c r="D127" s="330" t="s">
        <v>87</v>
      </c>
      <c r="E127" s="217">
        <f>E128</f>
        <v>1926000</v>
      </c>
      <c r="F127" s="217">
        <f t="shared" si="8"/>
        <v>1263498</v>
      </c>
      <c r="G127" s="225">
        <f>G128</f>
        <v>1263498</v>
      </c>
      <c r="H127" s="231">
        <v>0</v>
      </c>
      <c r="I127" s="225">
        <v>0</v>
      </c>
      <c r="J127" s="225">
        <v>0</v>
      </c>
      <c r="K127" s="333">
        <f t="shared" si="9"/>
        <v>65.602180685358263</v>
      </c>
    </row>
    <row r="128" spans="1:11" s="72" customFormat="1" ht="23.25" customHeight="1">
      <c r="A128" s="423"/>
      <c r="B128" s="184"/>
      <c r="C128" s="184">
        <v>2110</v>
      </c>
      <c r="D128" s="118" t="s">
        <v>65</v>
      </c>
      <c r="E128" s="217">
        <v>1926000</v>
      </c>
      <c r="F128" s="217">
        <f t="shared" si="8"/>
        <v>1263498</v>
      </c>
      <c r="G128" s="225">
        <v>1263498</v>
      </c>
      <c r="H128" s="231">
        <v>0</v>
      </c>
      <c r="I128" s="225">
        <v>0</v>
      </c>
      <c r="J128" s="225">
        <v>0</v>
      </c>
      <c r="K128" s="333">
        <f t="shared" si="9"/>
        <v>65.602180685358263</v>
      </c>
    </row>
    <row r="129" spans="1:11" s="72" customFormat="1" ht="12">
      <c r="A129" s="152">
        <v>852</v>
      </c>
      <c r="B129" s="152"/>
      <c r="C129" s="152"/>
      <c r="D129" s="153" t="s">
        <v>35</v>
      </c>
      <c r="E129" s="216">
        <f>E130+E137+E139+E146+E152+E157+E150</f>
        <v>4834467.28</v>
      </c>
      <c r="F129" s="513">
        <f t="shared" si="8"/>
        <v>2475038.9300000002</v>
      </c>
      <c r="G129" s="224">
        <f>G130+G137+G139+G146+G152+G157+G150</f>
        <v>2475038.9300000002</v>
      </c>
      <c r="H129" s="224">
        <f>H130+H137+H139+H146+H152+H157+H150</f>
        <v>0</v>
      </c>
      <c r="I129" s="224">
        <v>0</v>
      </c>
      <c r="J129" s="224">
        <v>0</v>
      </c>
      <c r="K129" s="334">
        <f t="shared" si="9"/>
        <v>51.195690996588979</v>
      </c>
    </row>
    <row r="130" spans="1:11" s="72" customFormat="1" ht="12">
      <c r="A130" s="401" t="s">
        <v>12</v>
      </c>
      <c r="B130" s="184">
        <v>85201</v>
      </c>
      <c r="C130" s="184"/>
      <c r="D130" s="118" t="s">
        <v>88</v>
      </c>
      <c r="E130" s="221">
        <f>SUM(E131:E136)</f>
        <v>2223681.4</v>
      </c>
      <c r="F130" s="217">
        <f t="shared" si="8"/>
        <v>1136164.99</v>
      </c>
      <c r="G130" s="229">
        <f>SUM(G131:G136)</f>
        <v>1136164.99</v>
      </c>
      <c r="H130" s="231">
        <v>0</v>
      </c>
      <c r="I130" s="225">
        <v>0</v>
      </c>
      <c r="J130" s="225">
        <v>0</v>
      </c>
      <c r="K130" s="333">
        <f t="shared" si="9"/>
        <v>51.093874779003869</v>
      </c>
    </row>
    <row r="131" spans="1:11" s="72" customFormat="1" ht="12.75" customHeight="1">
      <c r="A131" s="402"/>
      <c r="B131" s="401"/>
      <c r="C131" s="149" t="s">
        <v>129</v>
      </c>
      <c r="D131" s="122" t="s">
        <v>159</v>
      </c>
      <c r="E131" s="217">
        <v>1000</v>
      </c>
      <c r="F131" s="217">
        <f t="shared" si="8"/>
        <v>1000</v>
      </c>
      <c r="G131" s="225">
        <v>1000</v>
      </c>
      <c r="H131" s="231">
        <v>0</v>
      </c>
      <c r="I131" s="225">
        <v>0</v>
      </c>
      <c r="J131" s="225">
        <v>0</v>
      </c>
      <c r="K131" s="333">
        <f t="shared" si="9"/>
        <v>100</v>
      </c>
    </row>
    <row r="132" spans="1:11" s="72" customFormat="1" ht="21.75" customHeight="1">
      <c r="A132" s="402"/>
      <c r="B132" s="402"/>
      <c r="C132" s="149" t="s">
        <v>147</v>
      </c>
      <c r="D132" s="118" t="s">
        <v>156</v>
      </c>
      <c r="E132" s="217">
        <v>3000</v>
      </c>
      <c r="F132" s="217">
        <f t="shared" si="8"/>
        <v>5126.3</v>
      </c>
      <c r="G132" s="225">
        <v>5126.3</v>
      </c>
      <c r="H132" s="231">
        <v>0</v>
      </c>
      <c r="I132" s="225">
        <v>0</v>
      </c>
      <c r="J132" s="225">
        <v>0</v>
      </c>
      <c r="K132" s="333">
        <f t="shared" si="9"/>
        <v>170.87666666666667</v>
      </c>
    </row>
    <row r="133" spans="1:11" s="72" customFormat="1" ht="12">
      <c r="A133" s="402"/>
      <c r="B133" s="402"/>
      <c r="C133" s="149" t="s">
        <v>55</v>
      </c>
      <c r="D133" s="118" t="s">
        <v>57</v>
      </c>
      <c r="E133" s="217">
        <v>0</v>
      </c>
      <c r="F133" s="217">
        <f t="shared" si="8"/>
        <v>7036.3</v>
      </c>
      <c r="G133" s="225">
        <v>7036.3</v>
      </c>
      <c r="H133" s="328">
        <v>0</v>
      </c>
      <c r="I133" s="225">
        <v>0</v>
      </c>
      <c r="J133" s="225">
        <v>0</v>
      </c>
      <c r="K133" s="333"/>
    </row>
    <row r="134" spans="1:11" s="72" customFormat="1" ht="12">
      <c r="A134" s="402"/>
      <c r="B134" s="402"/>
      <c r="C134" s="149" t="s">
        <v>49</v>
      </c>
      <c r="D134" s="118" t="s">
        <v>59</v>
      </c>
      <c r="E134" s="217">
        <v>1200</v>
      </c>
      <c r="F134" s="217">
        <f t="shared" si="8"/>
        <v>1297.1199999999999</v>
      </c>
      <c r="G134" s="225">
        <v>1297.1199999999999</v>
      </c>
      <c r="H134" s="231">
        <v>0</v>
      </c>
      <c r="I134" s="225">
        <v>0</v>
      </c>
      <c r="J134" s="225">
        <v>0</v>
      </c>
      <c r="K134" s="333">
        <f t="shared" si="9"/>
        <v>108.09333333333333</v>
      </c>
    </row>
    <row r="135" spans="1:11" s="72" customFormat="1" ht="13.5" customHeight="1">
      <c r="A135" s="402"/>
      <c r="B135" s="402"/>
      <c r="C135" s="149" t="s">
        <v>100</v>
      </c>
      <c r="D135" s="118" t="s">
        <v>155</v>
      </c>
      <c r="E135" s="217">
        <v>0</v>
      </c>
      <c r="F135" s="217">
        <f t="shared" si="8"/>
        <v>104</v>
      </c>
      <c r="G135" s="225">
        <v>104</v>
      </c>
      <c r="H135" s="231">
        <v>0</v>
      </c>
      <c r="I135" s="225">
        <v>0</v>
      </c>
      <c r="J135" s="225">
        <v>0</v>
      </c>
      <c r="K135" s="333"/>
    </row>
    <row r="136" spans="1:11" s="72" customFormat="1" ht="21.75" customHeight="1">
      <c r="A136" s="402"/>
      <c r="B136" s="402"/>
      <c r="C136" s="184">
        <v>2320</v>
      </c>
      <c r="D136" s="118" t="s">
        <v>135</v>
      </c>
      <c r="E136" s="217">
        <v>2218481.4</v>
      </c>
      <c r="F136" s="217">
        <f t="shared" si="8"/>
        <v>1121601.27</v>
      </c>
      <c r="G136" s="225">
        <v>1121601.27</v>
      </c>
      <c r="H136" s="231">
        <v>0</v>
      </c>
      <c r="I136" s="225">
        <v>0</v>
      </c>
      <c r="J136" s="225">
        <v>0</v>
      </c>
      <c r="K136" s="333">
        <f t="shared" si="9"/>
        <v>50.557163562426091</v>
      </c>
    </row>
    <row r="137" spans="1:11" s="72" customFormat="1" ht="12">
      <c r="A137" s="402"/>
      <c r="B137" s="184">
        <v>85202</v>
      </c>
      <c r="C137" s="184"/>
      <c r="D137" s="118" t="s">
        <v>89</v>
      </c>
      <c r="E137" s="217">
        <f>E138</f>
        <v>1747000</v>
      </c>
      <c r="F137" s="217">
        <f t="shared" si="8"/>
        <v>826271</v>
      </c>
      <c r="G137" s="225">
        <f>G138</f>
        <v>826271</v>
      </c>
      <c r="H137" s="231">
        <v>0</v>
      </c>
      <c r="I137" s="225">
        <v>0</v>
      </c>
      <c r="J137" s="225">
        <v>0</v>
      </c>
      <c r="K137" s="333">
        <f t="shared" si="9"/>
        <v>47.296565540927304</v>
      </c>
    </row>
    <row r="138" spans="1:11" s="72" customFormat="1" ht="22.5" customHeight="1">
      <c r="A138" s="402"/>
      <c r="B138" s="207"/>
      <c r="C138" s="184">
        <v>2130</v>
      </c>
      <c r="D138" s="118" t="s">
        <v>25</v>
      </c>
      <c r="E138" s="217">
        <v>1747000</v>
      </c>
      <c r="F138" s="217">
        <f t="shared" si="8"/>
        <v>826271</v>
      </c>
      <c r="G138" s="225">
        <v>826271</v>
      </c>
      <c r="H138" s="231">
        <v>0</v>
      </c>
      <c r="I138" s="225">
        <v>0</v>
      </c>
      <c r="J138" s="225">
        <v>0</v>
      </c>
      <c r="K138" s="333">
        <f t="shared" si="9"/>
        <v>47.296565540927304</v>
      </c>
    </row>
    <row r="139" spans="1:11" s="72" customFormat="1" ht="12">
      <c r="A139" s="402"/>
      <c r="B139" s="184">
        <v>85203</v>
      </c>
      <c r="C139" s="184"/>
      <c r="D139" s="118" t="s">
        <v>90</v>
      </c>
      <c r="E139" s="217">
        <f>E140+E142+E144</f>
        <v>432000</v>
      </c>
      <c r="F139" s="217">
        <f t="shared" si="8"/>
        <v>244802.03</v>
      </c>
      <c r="G139" s="225">
        <f>SUM(G140:G145)</f>
        <v>244802.03</v>
      </c>
      <c r="H139" s="231">
        <v>0</v>
      </c>
      <c r="I139" s="225">
        <v>0</v>
      </c>
      <c r="J139" s="225">
        <v>0</v>
      </c>
      <c r="K139" s="333">
        <f t="shared" si="9"/>
        <v>56.667136574074071</v>
      </c>
    </row>
    <row r="140" spans="1:11" s="72" customFormat="1" ht="34.5" customHeight="1">
      <c r="A140" s="402"/>
      <c r="B140" s="401"/>
      <c r="C140" s="149" t="s">
        <v>21</v>
      </c>
      <c r="D140" s="118" t="s">
        <v>166</v>
      </c>
      <c r="E140" s="217">
        <v>0</v>
      </c>
      <c r="F140" s="217">
        <f t="shared" si="8"/>
        <v>5250</v>
      </c>
      <c r="G140" s="225">
        <v>5250</v>
      </c>
      <c r="H140" s="231">
        <v>0</v>
      </c>
      <c r="I140" s="225">
        <v>0</v>
      </c>
      <c r="J140" s="225">
        <v>0</v>
      </c>
      <c r="K140" s="333"/>
    </row>
    <row r="141" spans="1:11" s="72" customFormat="1" ht="12">
      <c r="A141" s="402"/>
      <c r="B141" s="402"/>
      <c r="C141" s="149" t="s">
        <v>55</v>
      </c>
      <c r="D141" s="118" t="s">
        <v>57</v>
      </c>
      <c r="E141" s="217">
        <v>0</v>
      </c>
      <c r="F141" s="217">
        <f t="shared" ref="F141:F197" si="14">G141+I141</f>
        <v>203.39</v>
      </c>
      <c r="G141" s="225">
        <v>203.39</v>
      </c>
      <c r="H141" s="231">
        <v>0</v>
      </c>
      <c r="I141" s="217">
        <v>0</v>
      </c>
      <c r="J141" s="217">
        <v>0</v>
      </c>
      <c r="K141" s="333"/>
    </row>
    <row r="142" spans="1:11" s="72" customFormat="1" ht="12">
      <c r="A142" s="402"/>
      <c r="B142" s="402"/>
      <c r="C142" s="149" t="s">
        <v>49</v>
      </c>
      <c r="D142" s="118" t="s">
        <v>59</v>
      </c>
      <c r="E142" s="217">
        <v>0</v>
      </c>
      <c r="F142" s="217">
        <f t="shared" si="14"/>
        <v>223.81</v>
      </c>
      <c r="G142" s="225">
        <v>223.81</v>
      </c>
      <c r="H142" s="231">
        <v>0</v>
      </c>
      <c r="I142" s="217">
        <v>0</v>
      </c>
      <c r="J142" s="217">
        <v>0</v>
      </c>
      <c r="K142" s="333"/>
    </row>
    <row r="143" spans="1:11" s="72" customFormat="1" ht="12">
      <c r="A143" s="402"/>
      <c r="B143" s="402"/>
      <c r="C143" s="149" t="s">
        <v>56</v>
      </c>
      <c r="D143" s="118" t="s">
        <v>58</v>
      </c>
      <c r="E143" s="217">
        <v>0</v>
      </c>
      <c r="F143" s="217">
        <f t="shared" si="14"/>
        <v>3067.71</v>
      </c>
      <c r="G143" s="225">
        <v>3067.71</v>
      </c>
      <c r="H143" s="231">
        <v>0</v>
      </c>
      <c r="I143" s="217">
        <v>0</v>
      </c>
      <c r="J143" s="217">
        <v>0</v>
      </c>
      <c r="K143" s="333"/>
    </row>
    <row r="144" spans="1:11" s="72" customFormat="1" ht="23.25" customHeight="1">
      <c r="A144" s="402"/>
      <c r="B144" s="402"/>
      <c r="C144" s="184">
        <v>2110</v>
      </c>
      <c r="D144" s="118" t="s">
        <v>65</v>
      </c>
      <c r="E144" s="217">
        <v>432000</v>
      </c>
      <c r="F144" s="217">
        <f t="shared" si="14"/>
        <v>235938</v>
      </c>
      <c r="G144" s="225">
        <v>235938</v>
      </c>
      <c r="H144" s="231">
        <v>0</v>
      </c>
      <c r="I144" s="225">
        <v>0</v>
      </c>
      <c r="J144" s="225">
        <v>0</v>
      </c>
      <c r="K144" s="333">
        <f t="shared" si="9"/>
        <v>54.615277777777784</v>
      </c>
    </row>
    <row r="145" spans="1:11" s="72" customFormat="1" ht="33" customHeight="1">
      <c r="A145" s="402"/>
      <c r="B145" s="403"/>
      <c r="C145" s="184">
        <v>2360</v>
      </c>
      <c r="D145" s="118" t="s">
        <v>131</v>
      </c>
      <c r="E145" s="217">
        <v>0</v>
      </c>
      <c r="F145" s="217">
        <f t="shared" si="14"/>
        <v>119.12</v>
      </c>
      <c r="G145" s="225">
        <v>119.12</v>
      </c>
      <c r="H145" s="231">
        <v>0</v>
      </c>
      <c r="I145" s="225">
        <v>0</v>
      </c>
      <c r="J145" s="225">
        <v>0</v>
      </c>
      <c r="K145" s="333"/>
    </row>
    <row r="146" spans="1:11" s="72" customFormat="1" ht="12">
      <c r="A146" s="402"/>
      <c r="B146" s="184">
        <v>85204</v>
      </c>
      <c r="C146" s="184"/>
      <c r="D146" s="118" t="s">
        <v>113</v>
      </c>
      <c r="E146" s="217">
        <f>SUM(E147:E149)</f>
        <v>70595.88</v>
      </c>
      <c r="F146" s="217">
        <f t="shared" si="14"/>
        <v>68947.13</v>
      </c>
      <c r="G146" s="225">
        <f>SUM(G147:G149)</f>
        <v>68947.13</v>
      </c>
      <c r="H146" s="231">
        <v>0</v>
      </c>
      <c r="I146" s="225">
        <v>0</v>
      </c>
      <c r="J146" s="225">
        <v>0</v>
      </c>
      <c r="K146" s="333">
        <f t="shared" si="9"/>
        <v>97.664523765409541</v>
      </c>
    </row>
    <row r="147" spans="1:11" s="72" customFormat="1" ht="12">
      <c r="A147" s="402"/>
      <c r="B147" s="402"/>
      <c r="C147" s="149" t="s">
        <v>56</v>
      </c>
      <c r="D147" s="118" t="s">
        <v>58</v>
      </c>
      <c r="E147" s="217">
        <v>0</v>
      </c>
      <c r="F147" s="217">
        <f t="shared" si="14"/>
        <v>279.64</v>
      </c>
      <c r="G147" s="225">
        <v>279.64</v>
      </c>
      <c r="H147" s="231">
        <v>0</v>
      </c>
      <c r="I147" s="225">
        <v>0</v>
      </c>
      <c r="J147" s="225">
        <v>0</v>
      </c>
      <c r="K147" s="333"/>
    </row>
    <row r="148" spans="1:11" s="72" customFormat="1" ht="33.75" customHeight="1">
      <c r="A148" s="402"/>
      <c r="B148" s="402"/>
      <c r="C148" s="149">
        <v>2320</v>
      </c>
      <c r="D148" s="118" t="s">
        <v>135</v>
      </c>
      <c r="E148" s="217">
        <v>70595.88</v>
      </c>
      <c r="F148" s="217">
        <f t="shared" si="14"/>
        <v>68391.22</v>
      </c>
      <c r="G148" s="225">
        <v>68391.22</v>
      </c>
      <c r="H148" s="231">
        <v>0</v>
      </c>
      <c r="I148" s="225">
        <v>0</v>
      </c>
      <c r="J148" s="225">
        <v>0</v>
      </c>
      <c r="K148" s="333">
        <f t="shared" ref="K148:K198" si="15">(G148+I148)/E148*100</f>
        <v>96.877069879998658</v>
      </c>
    </row>
    <row r="149" spans="1:11" s="72" customFormat="1" ht="47.25" customHeight="1">
      <c r="A149" s="402"/>
      <c r="B149" s="403"/>
      <c r="C149" s="149">
        <v>2910</v>
      </c>
      <c r="D149" s="118" t="s">
        <v>214</v>
      </c>
      <c r="E149" s="217">
        <v>0</v>
      </c>
      <c r="F149" s="217">
        <f t="shared" si="14"/>
        <v>276.27</v>
      </c>
      <c r="G149" s="225">
        <v>276.27</v>
      </c>
      <c r="H149" s="231">
        <v>0</v>
      </c>
      <c r="I149" s="225">
        <v>0</v>
      </c>
      <c r="J149" s="225">
        <v>0</v>
      </c>
      <c r="K149" s="333"/>
    </row>
    <row r="150" spans="1:11" s="72" customFormat="1" ht="12.75" customHeight="1">
      <c r="A150" s="402"/>
      <c r="B150" s="204">
        <v>85205</v>
      </c>
      <c r="C150" s="149"/>
      <c r="D150" s="118" t="s">
        <v>219</v>
      </c>
      <c r="E150" s="217">
        <f>E151</f>
        <v>319500</v>
      </c>
      <c r="F150" s="217">
        <f t="shared" si="14"/>
        <v>169500</v>
      </c>
      <c r="G150" s="225">
        <f>G151</f>
        <v>169500</v>
      </c>
      <c r="H150" s="231">
        <v>0</v>
      </c>
      <c r="I150" s="225">
        <v>0</v>
      </c>
      <c r="J150" s="225">
        <v>0</v>
      </c>
      <c r="K150" s="333">
        <f t="shared" si="15"/>
        <v>53.051643192488264</v>
      </c>
    </row>
    <row r="151" spans="1:11" s="72" customFormat="1" ht="23.25" customHeight="1">
      <c r="A151" s="402"/>
      <c r="B151" s="204"/>
      <c r="C151" s="149">
        <v>2110</v>
      </c>
      <c r="D151" s="118" t="s">
        <v>65</v>
      </c>
      <c r="E151" s="217">
        <v>319500</v>
      </c>
      <c r="F151" s="217">
        <f t="shared" si="14"/>
        <v>169500</v>
      </c>
      <c r="G151" s="225">
        <v>169500</v>
      </c>
      <c r="H151" s="231">
        <v>0</v>
      </c>
      <c r="I151" s="225">
        <v>0</v>
      </c>
      <c r="J151" s="225">
        <v>0</v>
      </c>
      <c r="K151" s="333">
        <f t="shared" si="15"/>
        <v>53.051643192488264</v>
      </c>
    </row>
    <row r="152" spans="1:11" s="72" customFormat="1" ht="12">
      <c r="A152" s="402"/>
      <c r="B152" s="184">
        <v>85218</v>
      </c>
      <c r="C152" s="184"/>
      <c r="D152" s="118" t="s">
        <v>92</v>
      </c>
      <c r="E152" s="217">
        <f>SUM(E153:E156)</f>
        <v>41690</v>
      </c>
      <c r="F152" s="217">
        <f t="shared" si="14"/>
        <v>25564.91</v>
      </c>
      <c r="G152" s="225">
        <f>SUM(G153:G156)</f>
        <v>25564.91</v>
      </c>
      <c r="H152" s="231">
        <v>0</v>
      </c>
      <c r="I152" s="225">
        <v>0</v>
      </c>
      <c r="J152" s="225">
        <v>0</v>
      </c>
      <c r="K152" s="333">
        <f t="shared" si="15"/>
        <v>61.321443991364831</v>
      </c>
    </row>
    <row r="153" spans="1:11" s="72" customFormat="1" ht="33.75" customHeight="1">
      <c r="A153" s="402"/>
      <c r="B153" s="401"/>
      <c r="C153" s="149" t="s">
        <v>21</v>
      </c>
      <c r="D153" s="118" t="s">
        <v>132</v>
      </c>
      <c r="E153" s="217">
        <v>27690</v>
      </c>
      <c r="F153" s="217">
        <f t="shared" si="14"/>
        <v>18819.96</v>
      </c>
      <c r="G153" s="225">
        <v>18819.96</v>
      </c>
      <c r="H153" s="231">
        <v>0</v>
      </c>
      <c r="I153" s="225">
        <v>0</v>
      </c>
      <c r="J153" s="225">
        <v>0</v>
      </c>
      <c r="K153" s="333">
        <f t="shared" si="15"/>
        <v>67.966630552546036</v>
      </c>
    </row>
    <row r="154" spans="1:11" s="72" customFormat="1" ht="12">
      <c r="A154" s="402"/>
      <c r="B154" s="402"/>
      <c r="C154" s="149" t="s">
        <v>55</v>
      </c>
      <c r="D154" s="118" t="s">
        <v>57</v>
      </c>
      <c r="E154" s="217">
        <v>8000</v>
      </c>
      <c r="F154" s="217">
        <f t="shared" si="14"/>
        <v>5136.51</v>
      </c>
      <c r="G154" s="225">
        <v>5136.51</v>
      </c>
      <c r="H154" s="231">
        <v>0</v>
      </c>
      <c r="I154" s="225">
        <v>0</v>
      </c>
      <c r="J154" s="225">
        <v>0</v>
      </c>
      <c r="K154" s="333">
        <f t="shared" si="15"/>
        <v>64.206375000000008</v>
      </c>
    </row>
    <row r="155" spans="1:11" s="72" customFormat="1" ht="12">
      <c r="A155" s="402"/>
      <c r="B155" s="402"/>
      <c r="C155" s="149" t="s">
        <v>49</v>
      </c>
      <c r="D155" s="118" t="s">
        <v>59</v>
      </c>
      <c r="E155" s="217">
        <v>1000</v>
      </c>
      <c r="F155" s="217">
        <f t="shared" si="14"/>
        <v>1113.3699999999999</v>
      </c>
      <c r="G155" s="225">
        <v>1113.3699999999999</v>
      </c>
      <c r="H155" s="231">
        <v>0</v>
      </c>
      <c r="I155" s="225">
        <v>0</v>
      </c>
      <c r="J155" s="225">
        <v>0</v>
      </c>
      <c r="K155" s="333">
        <f t="shared" si="15"/>
        <v>111.337</v>
      </c>
    </row>
    <row r="156" spans="1:11" s="72" customFormat="1" ht="12">
      <c r="A156" s="402"/>
      <c r="B156" s="403"/>
      <c r="C156" s="149" t="s">
        <v>56</v>
      </c>
      <c r="D156" s="118" t="s">
        <v>58</v>
      </c>
      <c r="E156" s="217">
        <v>5000</v>
      </c>
      <c r="F156" s="217">
        <f t="shared" si="14"/>
        <v>495.07</v>
      </c>
      <c r="G156" s="225">
        <v>495.07</v>
      </c>
      <c r="H156" s="231">
        <v>0</v>
      </c>
      <c r="I156" s="225">
        <v>0</v>
      </c>
      <c r="J156" s="225">
        <v>0</v>
      </c>
      <c r="K156" s="333">
        <f t="shared" si="15"/>
        <v>9.9014000000000006</v>
      </c>
    </row>
    <row r="157" spans="1:11" s="72" customFormat="1" ht="12">
      <c r="A157" s="402"/>
      <c r="B157" s="183">
        <v>85226</v>
      </c>
      <c r="C157" s="184"/>
      <c r="D157" s="118" t="s">
        <v>201</v>
      </c>
      <c r="E157" s="217">
        <f>E158</f>
        <v>0</v>
      </c>
      <c r="F157" s="217">
        <f t="shared" si="14"/>
        <v>3788.87</v>
      </c>
      <c r="G157" s="225">
        <f>G158</f>
        <v>3788.87</v>
      </c>
      <c r="H157" s="231">
        <v>0</v>
      </c>
      <c r="I157" s="225">
        <v>0</v>
      </c>
      <c r="J157" s="225">
        <v>0</v>
      </c>
      <c r="K157" s="333"/>
    </row>
    <row r="158" spans="1:11" s="72" customFormat="1" ht="34.5" customHeight="1">
      <c r="A158" s="403"/>
      <c r="B158" s="319"/>
      <c r="C158" s="149">
        <v>2320</v>
      </c>
      <c r="D158" s="118" t="s">
        <v>135</v>
      </c>
      <c r="E158" s="217">
        <v>0</v>
      </c>
      <c r="F158" s="217">
        <f t="shared" si="14"/>
        <v>3788.87</v>
      </c>
      <c r="G158" s="225">
        <v>3788.87</v>
      </c>
      <c r="H158" s="328">
        <v>0</v>
      </c>
      <c r="I158" s="225">
        <v>0</v>
      </c>
      <c r="J158" s="225">
        <v>0</v>
      </c>
      <c r="K158" s="333"/>
    </row>
    <row r="159" spans="1:11" s="72" customFormat="1" ht="12.75" customHeight="1">
      <c r="A159" s="152">
        <v>853</v>
      </c>
      <c r="B159" s="152"/>
      <c r="C159" s="150"/>
      <c r="D159" s="153" t="s">
        <v>36</v>
      </c>
      <c r="E159" s="216">
        <f>E160+E162+E168</f>
        <v>2606593.5</v>
      </c>
      <c r="F159" s="513">
        <f t="shared" si="14"/>
        <v>1629057.77</v>
      </c>
      <c r="G159" s="216">
        <f t="shared" ref="G159:I159" si="16">G160+G162+G168</f>
        <v>1629057.77</v>
      </c>
      <c r="H159" s="216">
        <f t="shared" si="16"/>
        <v>990613.44</v>
      </c>
      <c r="I159" s="216">
        <f t="shared" si="16"/>
        <v>0</v>
      </c>
      <c r="J159" s="216">
        <f t="shared" ref="J159" si="17">J160+J162+J168</f>
        <v>0</v>
      </c>
      <c r="K159" s="334">
        <f t="shared" si="15"/>
        <v>62.497576626351595</v>
      </c>
    </row>
    <row r="160" spans="1:11" s="72" customFormat="1" ht="12">
      <c r="A160" s="401"/>
      <c r="B160" s="184">
        <v>85321</v>
      </c>
      <c r="C160" s="184"/>
      <c r="D160" s="118" t="s">
        <v>93</v>
      </c>
      <c r="E160" s="217">
        <f>E161</f>
        <v>83000</v>
      </c>
      <c r="F160" s="217">
        <f t="shared" si="14"/>
        <v>44000</v>
      </c>
      <c r="G160" s="225">
        <f>G161</f>
        <v>44000</v>
      </c>
      <c r="H160" s="231">
        <v>0</v>
      </c>
      <c r="I160" s="225">
        <v>0</v>
      </c>
      <c r="J160" s="225">
        <v>0</v>
      </c>
      <c r="K160" s="333">
        <f t="shared" si="15"/>
        <v>53.01204819277109</v>
      </c>
    </row>
    <row r="161" spans="1:11" s="72" customFormat="1" ht="21.75" customHeight="1">
      <c r="A161" s="402"/>
      <c r="B161" s="184"/>
      <c r="C161" s="184">
        <v>2110</v>
      </c>
      <c r="D161" s="118" t="s">
        <v>65</v>
      </c>
      <c r="E161" s="217">
        <v>83000</v>
      </c>
      <c r="F161" s="217">
        <f t="shared" si="14"/>
        <v>44000</v>
      </c>
      <c r="G161" s="225">
        <v>44000</v>
      </c>
      <c r="H161" s="231">
        <v>0</v>
      </c>
      <c r="I161" s="225">
        <v>0</v>
      </c>
      <c r="J161" s="225">
        <v>0</v>
      </c>
      <c r="K161" s="333">
        <f t="shared" si="15"/>
        <v>53.01204819277109</v>
      </c>
    </row>
    <row r="162" spans="1:11" s="72" customFormat="1" ht="12">
      <c r="A162" s="402"/>
      <c r="B162" s="184">
        <v>85333</v>
      </c>
      <c r="C162" s="184"/>
      <c r="D162" s="118" t="s">
        <v>94</v>
      </c>
      <c r="E162" s="217">
        <f>SUM(E163:E167)</f>
        <v>1179400</v>
      </c>
      <c r="F162" s="217">
        <f t="shared" si="14"/>
        <v>593060.5</v>
      </c>
      <c r="G162" s="225">
        <f>SUM(G163:G167)</f>
        <v>593060.5</v>
      </c>
      <c r="H162" s="231">
        <v>0</v>
      </c>
      <c r="I162" s="225">
        <f>SUM(I163:I167)</f>
        <v>0</v>
      </c>
      <c r="J162" s="225">
        <f>SUM(J163:J167)</f>
        <v>0</v>
      </c>
      <c r="K162" s="333">
        <f t="shared" si="15"/>
        <v>50.284933016788202</v>
      </c>
    </row>
    <row r="163" spans="1:11" s="72" customFormat="1" ht="33" customHeight="1">
      <c r="A163" s="402"/>
      <c r="B163" s="401"/>
      <c r="C163" s="149" t="s">
        <v>21</v>
      </c>
      <c r="D163" s="118" t="s">
        <v>166</v>
      </c>
      <c r="E163" s="217">
        <v>5000</v>
      </c>
      <c r="F163" s="217">
        <f t="shared" si="14"/>
        <v>800</v>
      </c>
      <c r="G163" s="225">
        <v>800</v>
      </c>
      <c r="H163" s="231">
        <v>0</v>
      </c>
      <c r="I163" s="225">
        <v>0</v>
      </c>
      <c r="J163" s="225">
        <v>0</v>
      </c>
      <c r="K163" s="333"/>
    </row>
    <row r="164" spans="1:11" s="72" customFormat="1" ht="14.25" customHeight="1">
      <c r="A164" s="402"/>
      <c r="B164" s="402"/>
      <c r="C164" s="149" t="s">
        <v>191</v>
      </c>
      <c r="D164" s="118" t="s">
        <v>194</v>
      </c>
      <c r="E164" s="217">
        <v>0</v>
      </c>
      <c r="F164" s="217">
        <f t="shared" si="14"/>
        <v>175</v>
      </c>
      <c r="G164" s="225">
        <v>175</v>
      </c>
      <c r="H164" s="231">
        <v>0</v>
      </c>
      <c r="I164" s="225">
        <v>0</v>
      </c>
      <c r="J164" s="225">
        <v>0</v>
      </c>
      <c r="K164" s="333"/>
    </row>
    <row r="165" spans="1:11" s="72" customFormat="1" ht="14.25" customHeight="1">
      <c r="A165" s="402"/>
      <c r="B165" s="402"/>
      <c r="C165" s="149" t="s">
        <v>49</v>
      </c>
      <c r="D165" s="118" t="s">
        <v>59</v>
      </c>
      <c r="E165" s="217">
        <v>1500</v>
      </c>
      <c r="F165" s="217">
        <f t="shared" si="14"/>
        <v>717.32</v>
      </c>
      <c r="G165" s="225">
        <v>717.32</v>
      </c>
      <c r="H165" s="231">
        <v>0</v>
      </c>
      <c r="I165" s="225">
        <v>0</v>
      </c>
      <c r="J165" s="225">
        <v>0</v>
      </c>
      <c r="K165" s="333">
        <f t="shared" si="15"/>
        <v>47.821333333333335</v>
      </c>
    </row>
    <row r="166" spans="1:11" s="72" customFormat="1" ht="12">
      <c r="A166" s="402"/>
      <c r="B166" s="402"/>
      <c r="C166" s="149" t="s">
        <v>56</v>
      </c>
      <c r="D166" s="118" t="s">
        <v>58</v>
      </c>
      <c r="E166" s="217">
        <v>100</v>
      </c>
      <c r="F166" s="217">
        <f t="shared" si="14"/>
        <v>4368.18</v>
      </c>
      <c r="G166" s="225">
        <v>4368.18</v>
      </c>
      <c r="H166" s="231">
        <v>0</v>
      </c>
      <c r="I166" s="225">
        <v>0</v>
      </c>
      <c r="J166" s="225">
        <v>0</v>
      </c>
      <c r="K166" s="333">
        <f t="shared" si="15"/>
        <v>4368.18</v>
      </c>
    </row>
    <row r="167" spans="1:11" s="72" customFormat="1" ht="33.75" customHeight="1">
      <c r="A167" s="402"/>
      <c r="B167" s="403"/>
      <c r="C167" s="184">
        <v>2690</v>
      </c>
      <c r="D167" s="182" t="s">
        <v>349</v>
      </c>
      <c r="E167" s="217">
        <v>1172800</v>
      </c>
      <c r="F167" s="217">
        <f t="shared" si="14"/>
        <v>587000</v>
      </c>
      <c r="G167" s="225">
        <v>587000</v>
      </c>
      <c r="H167" s="231">
        <v>0</v>
      </c>
      <c r="I167" s="225">
        <v>0</v>
      </c>
      <c r="J167" s="225">
        <v>0</v>
      </c>
      <c r="K167" s="333">
        <f t="shared" si="15"/>
        <v>50.051159618008192</v>
      </c>
    </row>
    <row r="168" spans="1:11" s="72" customFormat="1" ht="12">
      <c r="A168" s="402"/>
      <c r="B168" s="184">
        <v>85395</v>
      </c>
      <c r="C168" s="184"/>
      <c r="D168" s="118" t="s">
        <v>74</v>
      </c>
      <c r="E168" s="217">
        <f>SUM(E169:E171)</f>
        <v>1344193.5</v>
      </c>
      <c r="F168" s="217">
        <f t="shared" si="14"/>
        <v>991997.27</v>
      </c>
      <c r="G168" s="225">
        <f>SUM(G169:G171)</f>
        <v>991997.27</v>
      </c>
      <c r="H168" s="225">
        <f>SUM(H169:H171)</f>
        <v>990613.44</v>
      </c>
      <c r="I168" s="225">
        <v>0</v>
      </c>
      <c r="J168" s="225">
        <v>0</v>
      </c>
      <c r="K168" s="333">
        <f t="shared" si="15"/>
        <v>73.79869564910112</v>
      </c>
    </row>
    <row r="169" spans="1:11" s="72" customFormat="1" ht="12">
      <c r="A169" s="402"/>
      <c r="B169" s="401"/>
      <c r="C169" s="149" t="s">
        <v>49</v>
      </c>
      <c r="D169" s="118" t="s">
        <v>59</v>
      </c>
      <c r="E169" s="217">
        <v>0</v>
      </c>
      <c r="F169" s="217">
        <f t="shared" si="14"/>
        <v>1383.83</v>
      </c>
      <c r="G169" s="225">
        <v>1383.83</v>
      </c>
      <c r="H169" s="231">
        <v>0</v>
      </c>
      <c r="I169" s="225">
        <v>0</v>
      </c>
      <c r="J169" s="225">
        <v>0</v>
      </c>
      <c r="K169" s="333"/>
    </row>
    <row r="170" spans="1:11" s="72" customFormat="1" ht="20.25" customHeight="1">
      <c r="A170" s="402"/>
      <c r="B170" s="402"/>
      <c r="C170" s="149">
        <v>2007</v>
      </c>
      <c r="D170" s="426" t="s">
        <v>213</v>
      </c>
      <c r="E170" s="217">
        <v>1274373.75</v>
      </c>
      <c r="F170" s="217">
        <f t="shared" si="14"/>
        <v>937779.13</v>
      </c>
      <c r="G170" s="225">
        <v>937779.13</v>
      </c>
      <c r="H170" s="225">
        <f>G170</f>
        <v>937779.13</v>
      </c>
      <c r="I170" s="225">
        <v>0</v>
      </c>
      <c r="J170" s="225">
        <v>0</v>
      </c>
      <c r="K170" s="333">
        <f t="shared" si="15"/>
        <v>73.587448737075761</v>
      </c>
    </row>
    <row r="171" spans="1:11" s="72" customFormat="1" ht="23.25" customHeight="1">
      <c r="A171" s="402"/>
      <c r="B171" s="402"/>
      <c r="C171" s="149">
        <v>2009</v>
      </c>
      <c r="D171" s="427"/>
      <c r="E171" s="217">
        <v>69819.75</v>
      </c>
      <c r="F171" s="217">
        <f t="shared" si="14"/>
        <v>52834.31</v>
      </c>
      <c r="G171" s="225">
        <v>52834.31</v>
      </c>
      <c r="H171" s="225">
        <f>G171</f>
        <v>52834.31</v>
      </c>
      <c r="I171" s="225">
        <v>0</v>
      </c>
      <c r="J171" s="225">
        <v>0</v>
      </c>
      <c r="K171" s="333">
        <f t="shared" si="15"/>
        <v>75.672442253087411</v>
      </c>
    </row>
    <row r="172" spans="1:11" s="72" customFormat="1" ht="12">
      <c r="A172" s="152">
        <v>854</v>
      </c>
      <c r="B172" s="152"/>
      <c r="C172" s="152"/>
      <c r="D172" s="153" t="s">
        <v>95</v>
      </c>
      <c r="E172" s="216">
        <f>E173+E177+E182+E186</f>
        <v>625990</v>
      </c>
      <c r="F172" s="513">
        <f t="shared" si="14"/>
        <v>78648.78</v>
      </c>
      <c r="G172" s="224">
        <f>G173+G177+G182+G186</f>
        <v>78648.78</v>
      </c>
      <c r="H172" s="224">
        <f>H173+H177+H182+H186</f>
        <v>0</v>
      </c>
      <c r="I172" s="224">
        <v>0</v>
      </c>
      <c r="J172" s="224">
        <v>0</v>
      </c>
      <c r="K172" s="334">
        <f t="shared" si="15"/>
        <v>12.563903576734454</v>
      </c>
    </row>
    <row r="173" spans="1:11" s="72" customFormat="1" ht="22.5">
      <c r="A173" s="401"/>
      <c r="B173" s="184">
        <v>85406</v>
      </c>
      <c r="C173" s="184"/>
      <c r="D173" s="118" t="s">
        <v>96</v>
      </c>
      <c r="E173" s="181">
        <f>SUM(E174:E176)</f>
        <v>20000</v>
      </c>
      <c r="F173" s="217">
        <f t="shared" si="14"/>
        <v>14416.66</v>
      </c>
      <c r="G173" s="225">
        <f>SUM(G174:G176)</f>
        <v>14416.66</v>
      </c>
      <c r="H173" s="231">
        <v>0</v>
      </c>
      <c r="I173" s="225">
        <v>0</v>
      </c>
      <c r="J173" s="225">
        <v>0</v>
      </c>
      <c r="K173" s="333">
        <f t="shared" si="15"/>
        <v>72.083299999999994</v>
      </c>
    </row>
    <row r="174" spans="1:11" s="72" customFormat="1" ht="33.75" customHeight="1">
      <c r="A174" s="402"/>
      <c r="B174" s="402"/>
      <c r="C174" s="149" t="s">
        <v>21</v>
      </c>
      <c r="D174" s="118" t="s">
        <v>166</v>
      </c>
      <c r="E174" s="217">
        <v>19600</v>
      </c>
      <c r="F174" s="217">
        <f t="shared" si="14"/>
        <v>10182.379999999999</v>
      </c>
      <c r="G174" s="225">
        <v>10182.379999999999</v>
      </c>
      <c r="H174" s="231">
        <v>0</v>
      </c>
      <c r="I174" s="225">
        <v>0</v>
      </c>
      <c r="J174" s="225">
        <v>0</v>
      </c>
      <c r="K174" s="333">
        <f t="shared" si="15"/>
        <v>51.950918367346929</v>
      </c>
    </row>
    <row r="175" spans="1:11" s="72" customFormat="1" ht="12">
      <c r="A175" s="402"/>
      <c r="B175" s="402"/>
      <c r="C175" s="149" t="s">
        <v>49</v>
      </c>
      <c r="D175" s="118" t="s">
        <v>59</v>
      </c>
      <c r="E175" s="217">
        <v>280</v>
      </c>
      <c r="F175" s="217">
        <f t="shared" si="14"/>
        <v>366.92</v>
      </c>
      <c r="G175" s="225">
        <v>366.92</v>
      </c>
      <c r="H175" s="231">
        <v>0</v>
      </c>
      <c r="I175" s="225">
        <v>0</v>
      </c>
      <c r="J175" s="225">
        <v>0</v>
      </c>
      <c r="K175" s="333">
        <f t="shared" si="15"/>
        <v>131.04285714285714</v>
      </c>
    </row>
    <row r="176" spans="1:11" s="72" customFormat="1" ht="12">
      <c r="A176" s="402"/>
      <c r="B176" s="403"/>
      <c r="C176" s="149" t="s">
        <v>56</v>
      </c>
      <c r="D176" s="118" t="s">
        <v>58</v>
      </c>
      <c r="E176" s="217">
        <v>120</v>
      </c>
      <c r="F176" s="217">
        <f t="shared" si="14"/>
        <v>3867.36</v>
      </c>
      <c r="G176" s="225">
        <v>3867.36</v>
      </c>
      <c r="H176" s="231">
        <v>0</v>
      </c>
      <c r="I176" s="225">
        <v>0</v>
      </c>
      <c r="J176" s="225">
        <v>0</v>
      </c>
      <c r="K176" s="333">
        <f t="shared" si="15"/>
        <v>3222.8</v>
      </c>
    </row>
    <row r="177" spans="1:11" s="72" customFormat="1" ht="12">
      <c r="A177" s="402"/>
      <c r="B177" s="184">
        <v>85407</v>
      </c>
      <c r="C177" s="184"/>
      <c r="D177" s="118" t="s">
        <v>45</v>
      </c>
      <c r="E177" s="217">
        <f>SUM(E178:E181)</f>
        <v>13750</v>
      </c>
      <c r="F177" s="217">
        <f t="shared" si="14"/>
        <v>11069.37</v>
      </c>
      <c r="G177" s="225">
        <f>SUM(G178:G181)</f>
        <v>11069.37</v>
      </c>
      <c r="H177" s="231">
        <v>0</v>
      </c>
      <c r="I177" s="225">
        <v>0</v>
      </c>
      <c r="J177" s="225">
        <v>0</v>
      </c>
      <c r="K177" s="333">
        <f t="shared" si="15"/>
        <v>80.504509090909096</v>
      </c>
    </row>
    <row r="178" spans="1:11" s="72" customFormat="1" ht="34.5" customHeight="1">
      <c r="A178" s="402"/>
      <c r="B178" s="400"/>
      <c r="C178" s="149" t="s">
        <v>21</v>
      </c>
      <c r="D178" s="118" t="s">
        <v>166</v>
      </c>
      <c r="E178" s="217">
        <v>10690</v>
      </c>
      <c r="F178" s="217">
        <f t="shared" si="14"/>
        <v>7150</v>
      </c>
      <c r="G178" s="225">
        <v>7150</v>
      </c>
      <c r="H178" s="231">
        <v>0</v>
      </c>
      <c r="I178" s="225">
        <v>0</v>
      </c>
      <c r="J178" s="225">
        <v>0</v>
      </c>
      <c r="K178" s="333">
        <f t="shared" si="15"/>
        <v>66.884939195509816</v>
      </c>
    </row>
    <row r="179" spans="1:11" s="72" customFormat="1" ht="12">
      <c r="A179" s="402"/>
      <c r="B179" s="400"/>
      <c r="C179" s="149" t="s">
        <v>55</v>
      </c>
      <c r="D179" s="118" t="s">
        <v>57</v>
      </c>
      <c r="E179" s="217">
        <v>2800</v>
      </c>
      <c r="F179" s="217">
        <f t="shared" si="14"/>
        <v>3772</v>
      </c>
      <c r="G179" s="225">
        <v>3772</v>
      </c>
      <c r="H179" s="231">
        <v>0</v>
      </c>
      <c r="I179" s="225">
        <v>0</v>
      </c>
      <c r="J179" s="225">
        <v>0</v>
      </c>
      <c r="K179" s="333">
        <f t="shared" si="15"/>
        <v>134.71428571428572</v>
      </c>
    </row>
    <row r="180" spans="1:11" s="72" customFormat="1" ht="12">
      <c r="A180" s="402"/>
      <c r="B180" s="400"/>
      <c r="C180" s="149" t="s">
        <v>49</v>
      </c>
      <c r="D180" s="118" t="s">
        <v>59</v>
      </c>
      <c r="E180" s="217">
        <v>200</v>
      </c>
      <c r="F180" s="217">
        <f t="shared" si="14"/>
        <v>111.37</v>
      </c>
      <c r="G180" s="225">
        <v>111.37</v>
      </c>
      <c r="H180" s="231">
        <v>0</v>
      </c>
      <c r="I180" s="225">
        <v>0</v>
      </c>
      <c r="J180" s="225">
        <v>0</v>
      </c>
      <c r="K180" s="333">
        <f t="shared" si="15"/>
        <v>55.685000000000009</v>
      </c>
    </row>
    <row r="181" spans="1:11" s="72" customFormat="1" ht="12">
      <c r="A181" s="402"/>
      <c r="B181" s="400"/>
      <c r="C181" s="149" t="s">
        <v>56</v>
      </c>
      <c r="D181" s="118" t="s">
        <v>58</v>
      </c>
      <c r="E181" s="217">
        <v>60</v>
      </c>
      <c r="F181" s="217">
        <f t="shared" si="14"/>
        <v>36</v>
      </c>
      <c r="G181" s="225">
        <v>36</v>
      </c>
      <c r="H181" s="231">
        <v>0</v>
      </c>
      <c r="I181" s="225">
        <v>0</v>
      </c>
      <c r="J181" s="225">
        <v>0</v>
      </c>
      <c r="K181" s="333">
        <f t="shared" si="15"/>
        <v>60</v>
      </c>
    </row>
    <row r="182" spans="1:11" s="72" customFormat="1" ht="12">
      <c r="A182" s="402"/>
      <c r="B182" s="184">
        <v>85410</v>
      </c>
      <c r="C182" s="184"/>
      <c r="D182" s="118" t="s">
        <v>46</v>
      </c>
      <c r="E182" s="217">
        <f>E183+E184+E185</f>
        <v>567740</v>
      </c>
      <c r="F182" s="217">
        <f t="shared" si="14"/>
        <v>39342.910000000003</v>
      </c>
      <c r="G182" s="217">
        <f>G183+G184+G185</f>
        <v>39342.910000000003</v>
      </c>
      <c r="H182" s="231">
        <v>0</v>
      </c>
      <c r="I182" s="225">
        <v>0</v>
      </c>
      <c r="J182" s="225">
        <v>0</v>
      </c>
      <c r="K182" s="333">
        <f t="shared" si="15"/>
        <v>6.9297407263888404</v>
      </c>
    </row>
    <row r="183" spans="1:11" s="72" customFormat="1" ht="34.5" customHeight="1">
      <c r="A183" s="402"/>
      <c r="B183" s="401"/>
      <c r="C183" s="149" t="s">
        <v>21</v>
      </c>
      <c r="D183" s="118" t="s">
        <v>166</v>
      </c>
      <c r="E183" s="217">
        <v>20000</v>
      </c>
      <c r="F183" s="217">
        <f t="shared" si="14"/>
        <v>24106.41</v>
      </c>
      <c r="G183" s="225">
        <v>24106.41</v>
      </c>
      <c r="H183" s="231">
        <v>0</v>
      </c>
      <c r="I183" s="225">
        <v>0</v>
      </c>
      <c r="J183" s="225">
        <v>0</v>
      </c>
      <c r="K183" s="333">
        <f t="shared" si="15"/>
        <v>120.53205</v>
      </c>
    </row>
    <row r="184" spans="1:11" s="72" customFormat="1" ht="13.5" customHeight="1">
      <c r="A184" s="402"/>
      <c r="B184" s="402"/>
      <c r="C184" s="149" t="s">
        <v>55</v>
      </c>
      <c r="D184" s="118" t="s">
        <v>57</v>
      </c>
      <c r="E184" s="217">
        <v>15500</v>
      </c>
      <c r="F184" s="217">
        <f t="shared" si="14"/>
        <v>15236.5</v>
      </c>
      <c r="G184" s="225">
        <v>15236.5</v>
      </c>
      <c r="H184" s="328">
        <v>0</v>
      </c>
      <c r="I184" s="225">
        <v>0</v>
      </c>
      <c r="J184" s="225">
        <v>0</v>
      </c>
      <c r="K184" s="333">
        <f t="shared" si="15"/>
        <v>98.3</v>
      </c>
    </row>
    <row r="185" spans="1:11" s="72" customFormat="1" ht="35.25" customHeight="1">
      <c r="A185" s="402"/>
      <c r="B185" s="403"/>
      <c r="C185" s="149">
        <v>6260</v>
      </c>
      <c r="D185" s="118" t="s">
        <v>216</v>
      </c>
      <c r="E185" s="217">
        <v>532240</v>
      </c>
      <c r="F185" s="217">
        <f t="shared" si="14"/>
        <v>0</v>
      </c>
      <c r="G185" s="225">
        <v>0</v>
      </c>
      <c r="H185" s="231">
        <v>0</v>
      </c>
      <c r="I185" s="225">
        <v>0</v>
      </c>
      <c r="J185" s="225">
        <v>0</v>
      </c>
      <c r="K185" s="333">
        <f t="shared" si="15"/>
        <v>0</v>
      </c>
    </row>
    <row r="186" spans="1:11" s="72" customFormat="1" ht="12">
      <c r="A186" s="402"/>
      <c r="B186" s="184">
        <v>85420</v>
      </c>
      <c r="C186" s="149"/>
      <c r="D186" s="118" t="s">
        <v>130</v>
      </c>
      <c r="E186" s="217">
        <f>E187+E188+E189</f>
        <v>24500</v>
      </c>
      <c r="F186" s="217">
        <f t="shared" si="14"/>
        <v>13819.84</v>
      </c>
      <c r="G186" s="225">
        <f>G187+G188+G189</f>
        <v>13819.84</v>
      </c>
      <c r="H186" s="231">
        <v>0</v>
      </c>
      <c r="I186" s="225">
        <v>0</v>
      </c>
      <c r="J186" s="225">
        <v>0</v>
      </c>
      <c r="K186" s="333">
        <f t="shared" si="15"/>
        <v>56.407510204081632</v>
      </c>
    </row>
    <row r="187" spans="1:11" s="72" customFormat="1" ht="12">
      <c r="A187" s="402"/>
      <c r="B187" s="401"/>
      <c r="C187" s="149" t="s">
        <v>55</v>
      </c>
      <c r="D187" s="118" t="s">
        <v>57</v>
      </c>
      <c r="E187" s="217">
        <v>24000</v>
      </c>
      <c r="F187" s="217">
        <f t="shared" si="14"/>
        <v>7615.68</v>
      </c>
      <c r="G187" s="225">
        <v>7615.68</v>
      </c>
      <c r="H187" s="231">
        <v>0</v>
      </c>
      <c r="I187" s="225">
        <v>0</v>
      </c>
      <c r="J187" s="225">
        <v>0</v>
      </c>
      <c r="K187" s="333">
        <f t="shared" si="15"/>
        <v>31.731999999999999</v>
      </c>
    </row>
    <row r="188" spans="1:11" s="72" customFormat="1" ht="12">
      <c r="A188" s="402"/>
      <c r="B188" s="402"/>
      <c r="C188" s="149" t="s">
        <v>49</v>
      </c>
      <c r="D188" s="118" t="s">
        <v>59</v>
      </c>
      <c r="E188" s="217">
        <v>500</v>
      </c>
      <c r="F188" s="217">
        <f t="shared" si="14"/>
        <v>357</v>
      </c>
      <c r="G188" s="225">
        <v>357</v>
      </c>
      <c r="H188" s="231">
        <v>0</v>
      </c>
      <c r="I188" s="225">
        <v>0</v>
      </c>
      <c r="J188" s="225">
        <v>0</v>
      </c>
      <c r="K188" s="333">
        <f t="shared" si="15"/>
        <v>71.399999999999991</v>
      </c>
    </row>
    <row r="189" spans="1:11" s="72" customFormat="1" ht="12">
      <c r="A189" s="403"/>
      <c r="B189" s="403"/>
      <c r="C189" s="149" t="s">
        <v>56</v>
      </c>
      <c r="D189" s="118" t="s">
        <v>58</v>
      </c>
      <c r="E189" s="217">
        <v>0</v>
      </c>
      <c r="F189" s="217">
        <f t="shared" si="14"/>
        <v>5847.16</v>
      </c>
      <c r="G189" s="225">
        <v>5847.16</v>
      </c>
      <c r="H189" s="231">
        <v>0</v>
      </c>
      <c r="I189" s="225">
        <v>0</v>
      </c>
      <c r="J189" s="225">
        <v>0</v>
      </c>
      <c r="K189" s="333"/>
    </row>
    <row r="190" spans="1:11" s="72" customFormat="1" ht="12.75" customHeight="1">
      <c r="A190" s="213">
        <v>900</v>
      </c>
      <c r="B190" s="213"/>
      <c r="C190" s="212"/>
      <c r="D190" s="162" t="s">
        <v>138</v>
      </c>
      <c r="E190" s="220">
        <f>E193+E191</f>
        <v>140000</v>
      </c>
      <c r="F190" s="217">
        <f t="shared" si="14"/>
        <v>36021.89</v>
      </c>
      <c r="G190" s="220">
        <f>G193+G191</f>
        <v>36021.89</v>
      </c>
      <c r="H190" s="231">
        <v>0</v>
      </c>
      <c r="I190" s="225">
        <v>0</v>
      </c>
      <c r="J190" s="225">
        <v>0</v>
      </c>
      <c r="K190" s="333">
        <f t="shared" si="15"/>
        <v>25.72992142857143</v>
      </c>
    </row>
    <row r="191" spans="1:11" s="72" customFormat="1" ht="12">
      <c r="A191" s="428"/>
      <c r="B191" s="196">
        <v>90001</v>
      </c>
      <c r="C191" s="236"/>
      <c r="D191" s="120" t="s">
        <v>306</v>
      </c>
      <c r="E191" s="221">
        <f>E192</f>
        <v>0</v>
      </c>
      <c r="F191" s="217">
        <f t="shared" si="14"/>
        <v>108.5</v>
      </c>
      <c r="G191" s="229">
        <f>G192</f>
        <v>108.5</v>
      </c>
      <c r="H191" s="231">
        <v>0</v>
      </c>
      <c r="I191" s="229">
        <v>0</v>
      </c>
      <c r="J191" s="229">
        <v>0</v>
      </c>
      <c r="K191" s="335"/>
    </row>
    <row r="192" spans="1:11" s="72" customFormat="1" ht="33.75">
      <c r="A192" s="429"/>
      <c r="B192" s="196"/>
      <c r="C192" s="236">
        <v>2360</v>
      </c>
      <c r="D192" s="120" t="s">
        <v>131</v>
      </c>
      <c r="E192" s="221">
        <v>0</v>
      </c>
      <c r="F192" s="217">
        <f t="shared" si="14"/>
        <v>108.5</v>
      </c>
      <c r="G192" s="229">
        <v>108.5</v>
      </c>
      <c r="H192" s="231">
        <v>0</v>
      </c>
      <c r="I192" s="229">
        <v>0</v>
      </c>
      <c r="J192" s="229">
        <v>0</v>
      </c>
      <c r="K192" s="335"/>
    </row>
    <row r="193" spans="1:11" s="72" customFormat="1" ht="23.25" customHeight="1">
      <c r="A193" s="429"/>
      <c r="B193" s="203">
        <v>90019</v>
      </c>
      <c r="C193" s="149"/>
      <c r="D193" s="118" t="s">
        <v>218</v>
      </c>
      <c r="E193" s="217">
        <f>E194</f>
        <v>140000</v>
      </c>
      <c r="F193" s="217">
        <f t="shared" si="14"/>
        <v>35913.39</v>
      </c>
      <c r="G193" s="225">
        <f>G194</f>
        <v>35913.39</v>
      </c>
      <c r="H193" s="231">
        <v>0</v>
      </c>
      <c r="I193" s="225">
        <v>0</v>
      </c>
      <c r="J193" s="225">
        <v>0</v>
      </c>
      <c r="K193" s="333">
        <f t="shared" si="15"/>
        <v>25.652421428571426</v>
      </c>
    </row>
    <row r="194" spans="1:11" s="72" customFormat="1" ht="12">
      <c r="A194" s="430"/>
      <c r="B194" s="318"/>
      <c r="C194" s="149" t="s">
        <v>37</v>
      </c>
      <c r="D194" s="121" t="s">
        <v>38</v>
      </c>
      <c r="E194" s="217">
        <v>140000</v>
      </c>
      <c r="F194" s="217">
        <f t="shared" si="14"/>
        <v>35913.39</v>
      </c>
      <c r="G194" s="225">
        <v>35913.39</v>
      </c>
      <c r="H194" s="231">
        <v>0</v>
      </c>
      <c r="I194" s="225">
        <v>0</v>
      </c>
      <c r="J194" s="225">
        <v>0</v>
      </c>
      <c r="K194" s="333">
        <f t="shared" si="15"/>
        <v>25.652421428571426</v>
      </c>
    </row>
    <row r="195" spans="1:11" s="72" customFormat="1" ht="12">
      <c r="A195" s="213">
        <v>921</v>
      </c>
      <c r="B195" s="213"/>
      <c r="C195" s="212"/>
      <c r="D195" s="162" t="s">
        <v>117</v>
      </c>
      <c r="E195" s="220">
        <f>E196</f>
        <v>0</v>
      </c>
      <c r="F195" s="217">
        <f t="shared" si="14"/>
        <v>4820</v>
      </c>
      <c r="G195" s="228">
        <f>G196</f>
        <v>4820</v>
      </c>
      <c r="H195" s="231">
        <v>0</v>
      </c>
      <c r="I195" s="225">
        <v>0</v>
      </c>
      <c r="J195" s="225">
        <v>0</v>
      </c>
      <c r="K195" s="333"/>
    </row>
    <row r="196" spans="1:11" s="72" customFormat="1" ht="12">
      <c r="A196" s="401"/>
      <c r="B196" s="203">
        <v>92120</v>
      </c>
      <c r="C196" s="149"/>
      <c r="D196" s="118" t="s">
        <v>307</v>
      </c>
      <c r="E196" s="217">
        <f>E197</f>
        <v>0</v>
      </c>
      <c r="F196" s="217">
        <f t="shared" si="14"/>
        <v>4820</v>
      </c>
      <c r="G196" s="225">
        <f>G197</f>
        <v>4820</v>
      </c>
      <c r="H196" s="231">
        <v>0</v>
      </c>
      <c r="I196" s="225">
        <v>0</v>
      </c>
      <c r="J196" s="225">
        <v>0</v>
      </c>
      <c r="K196" s="333"/>
    </row>
    <row r="197" spans="1:11" s="72" customFormat="1" ht="45" customHeight="1">
      <c r="A197" s="402"/>
      <c r="B197" s="318"/>
      <c r="C197" s="149">
        <v>2910</v>
      </c>
      <c r="D197" s="118" t="s">
        <v>214</v>
      </c>
      <c r="E197" s="217">
        <v>0</v>
      </c>
      <c r="F197" s="217">
        <f t="shared" si="14"/>
        <v>4820</v>
      </c>
      <c r="G197" s="225">
        <v>4820</v>
      </c>
      <c r="H197" s="231">
        <v>0</v>
      </c>
      <c r="I197" s="225">
        <v>0</v>
      </c>
      <c r="J197" s="225">
        <v>0</v>
      </c>
      <c r="K197" s="333"/>
    </row>
    <row r="198" spans="1:11" s="72" customFormat="1" ht="12">
      <c r="A198" s="514" t="s">
        <v>26</v>
      </c>
      <c r="B198" s="515"/>
      <c r="C198" s="515"/>
      <c r="D198" s="516"/>
      <c r="E198" s="222">
        <f>E11+E14+E18+E30+E39+E53+E66+E73+E83+E92+E121+E129+E159+E172+E190+E195</f>
        <v>54404235.890000001</v>
      </c>
      <c r="F198" s="222">
        <f t="shared" ref="F198:J198" si="18">F11+F14+F18+F30+F39+F53+F66+F73+F83+F92+F121+F129+F159+F172+F190+F195</f>
        <v>28922658.32</v>
      </c>
      <c r="G198" s="222">
        <f t="shared" si="18"/>
        <v>27926860.579999998</v>
      </c>
      <c r="H198" s="222">
        <f t="shared" si="18"/>
        <v>990613.44</v>
      </c>
      <c r="I198" s="222">
        <f t="shared" si="18"/>
        <v>995797.74</v>
      </c>
      <c r="J198" s="222">
        <f t="shared" si="18"/>
        <v>963797.74</v>
      </c>
      <c r="K198" s="334">
        <f t="shared" si="15"/>
        <v>53.16251179132221</v>
      </c>
    </row>
    <row r="199" spans="1:11" s="72" customFormat="1">
      <c r="A199"/>
      <c r="B199"/>
      <c r="C199"/>
      <c r="D199"/>
      <c r="E199" s="210"/>
      <c r="F199" s="210"/>
      <c r="G199" s="37"/>
      <c r="H199" s="37"/>
      <c r="I199" s="37"/>
      <c r="J199" s="37"/>
      <c r="K199"/>
    </row>
    <row r="200" spans="1:11">
      <c r="G200" s="230"/>
      <c r="H200" s="230"/>
    </row>
    <row r="202" spans="1:11">
      <c r="E202" s="211"/>
      <c r="F202" s="211"/>
    </row>
  </sheetData>
  <mergeCells count="59">
    <mergeCell ref="A198:D198"/>
    <mergeCell ref="B123:B124"/>
    <mergeCell ref="A196:A197"/>
    <mergeCell ref="D170:D171"/>
    <mergeCell ref="A191:A194"/>
    <mergeCell ref="B183:B185"/>
    <mergeCell ref="A173:A189"/>
    <mergeCell ref="B178:B181"/>
    <mergeCell ref="B187:B189"/>
    <mergeCell ref="A160:A171"/>
    <mergeCell ref="B174:B176"/>
    <mergeCell ref="B169:B171"/>
    <mergeCell ref="A130:A158"/>
    <mergeCell ref="B163:B167"/>
    <mergeCell ref="B153:B156"/>
    <mergeCell ref="B57:B59"/>
    <mergeCell ref="B64:B65"/>
    <mergeCell ref="A122:A128"/>
    <mergeCell ref="B131:B136"/>
    <mergeCell ref="B147:B149"/>
    <mergeCell ref="B140:B145"/>
    <mergeCell ref="B43:B47"/>
    <mergeCell ref="B49:B52"/>
    <mergeCell ref="A40:A52"/>
    <mergeCell ref="A84:A91"/>
    <mergeCell ref="B94:B97"/>
    <mergeCell ref="A67:A72"/>
    <mergeCell ref="A93:A120"/>
    <mergeCell ref="B116:B118"/>
    <mergeCell ref="B110:B114"/>
    <mergeCell ref="B101:B108"/>
    <mergeCell ref="A54:A65"/>
    <mergeCell ref="B68:B70"/>
    <mergeCell ref="A74:A82"/>
    <mergeCell ref="B75:B79"/>
    <mergeCell ref="B81:B82"/>
    <mergeCell ref="B61:B62"/>
    <mergeCell ref="A31:A38"/>
    <mergeCell ref="B32:B38"/>
    <mergeCell ref="A12:A13"/>
    <mergeCell ref="B16:B17"/>
    <mergeCell ref="A19:A29"/>
    <mergeCell ref="B20:B27"/>
    <mergeCell ref="D1:K1"/>
    <mergeCell ref="A2:K2"/>
    <mergeCell ref="A3:K3"/>
    <mergeCell ref="A4:K4"/>
    <mergeCell ref="A5:K5"/>
    <mergeCell ref="K7:K9"/>
    <mergeCell ref="A15:A17"/>
    <mergeCell ref="A7:A9"/>
    <mergeCell ref="B7:B9"/>
    <mergeCell ref="C7:C9"/>
    <mergeCell ref="D7:D9"/>
    <mergeCell ref="E7:E9"/>
    <mergeCell ref="I8:I9"/>
    <mergeCell ref="G8:G9"/>
    <mergeCell ref="F7:F9"/>
    <mergeCell ref="G7:J7"/>
  </mergeCells>
  <pageMargins left="0.7" right="0.7" top="0.75" bottom="0.75" header="0.3" footer="0.3"/>
  <pageSetup paperSize="9" orientation="landscape" r:id="rId1"/>
  <headerFooter>
    <oddFooter>&amp;C&amp;"Times New (W1),Normalny"Tabela Nr 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57"/>
  <sheetViews>
    <sheetView view="pageLayout" workbookViewId="0">
      <selection activeCell="J89" sqref="J89"/>
    </sheetView>
  </sheetViews>
  <sheetFormatPr defaultRowHeight="12.75"/>
  <cols>
    <col min="1" max="1" width="15.140625" customWidth="1"/>
    <col min="2" max="2" width="19.42578125" customWidth="1"/>
    <col min="3" max="3" width="18.140625" customWidth="1"/>
    <col min="4" max="5" width="2.140625" customWidth="1"/>
    <col min="6" max="9" width="5.7109375" customWidth="1"/>
    <col min="10" max="10" width="60.42578125" customWidth="1"/>
    <col min="11" max="11" width="2.28515625" customWidth="1"/>
    <col min="16" max="16" width="5.140625" customWidth="1"/>
    <col min="17" max="17" width="9.140625" hidden="1" customWidth="1"/>
  </cols>
  <sheetData>
    <row r="2" spans="1:3">
      <c r="B2" t="s">
        <v>136</v>
      </c>
      <c r="C2" t="s">
        <v>127</v>
      </c>
    </row>
    <row r="3" spans="1:3">
      <c r="A3" s="36" t="s">
        <v>13</v>
      </c>
      <c r="B3" s="34">
        <v>125000</v>
      </c>
      <c r="C3" s="38">
        <v>4045.36</v>
      </c>
    </row>
    <row r="4" spans="1:3">
      <c r="A4" s="36" t="s">
        <v>14</v>
      </c>
      <c r="B4" s="29">
        <v>260000</v>
      </c>
      <c r="C4" s="39">
        <v>123664.79</v>
      </c>
    </row>
    <row r="5" spans="1:3">
      <c r="A5" s="36">
        <v>600</v>
      </c>
      <c r="B5" s="29">
        <v>2073890.03</v>
      </c>
      <c r="C5" s="39">
        <v>48932.68</v>
      </c>
    </row>
    <row r="6" spans="1:3">
      <c r="A6" s="36" t="s">
        <v>139</v>
      </c>
      <c r="B6" s="29">
        <v>321600</v>
      </c>
      <c r="C6" s="39">
        <v>120309.49</v>
      </c>
    </row>
    <row r="7" spans="1:3">
      <c r="A7" s="36" t="s">
        <v>140</v>
      </c>
      <c r="B7" s="29">
        <v>365173</v>
      </c>
      <c r="C7" s="39">
        <v>152111.57</v>
      </c>
    </row>
    <row r="8" spans="1:3">
      <c r="A8" s="36" t="s">
        <v>141</v>
      </c>
      <c r="B8" s="29">
        <v>2795530.82</v>
      </c>
      <c r="C8" s="39">
        <v>172245.85</v>
      </c>
    </row>
    <row r="9" spans="1:3">
      <c r="A9" s="2">
        <v>754</v>
      </c>
      <c r="B9" s="29">
        <v>3607275</v>
      </c>
      <c r="C9" s="39">
        <v>1848770.89</v>
      </c>
    </row>
    <row r="10" spans="1:3">
      <c r="A10" s="2">
        <v>756</v>
      </c>
      <c r="B10" s="29">
        <v>5873797</v>
      </c>
      <c r="C10" s="39">
        <v>2810073.06</v>
      </c>
    </row>
    <row r="11" spans="1:3">
      <c r="A11" s="2">
        <v>758</v>
      </c>
      <c r="B11" s="29">
        <v>28171325</v>
      </c>
      <c r="C11" s="39">
        <v>16128876.43</v>
      </c>
    </row>
    <row r="12" spans="1:3">
      <c r="A12" s="2">
        <v>801</v>
      </c>
      <c r="B12" s="29">
        <v>711182.39</v>
      </c>
      <c r="C12" s="39">
        <v>262342.88</v>
      </c>
    </row>
    <row r="13" spans="1:3">
      <c r="A13" s="2">
        <v>851</v>
      </c>
      <c r="B13" s="29">
        <v>3649610.69</v>
      </c>
      <c r="C13" s="39">
        <v>1153000</v>
      </c>
    </row>
    <row r="14" spans="1:3">
      <c r="A14" s="2">
        <v>852</v>
      </c>
      <c r="B14" s="29">
        <v>4445286.76</v>
      </c>
      <c r="C14" s="39">
        <v>2205247.54</v>
      </c>
    </row>
    <row r="15" spans="1:3">
      <c r="A15" s="242">
        <v>853</v>
      </c>
      <c r="B15" s="29">
        <v>2257748.13</v>
      </c>
      <c r="C15" s="39">
        <v>1755870.5</v>
      </c>
    </row>
    <row r="16" spans="1:3">
      <c r="A16" s="242">
        <v>854</v>
      </c>
      <c r="B16" s="29">
        <v>476454.48</v>
      </c>
      <c r="C16" s="39">
        <v>64188.13</v>
      </c>
    </row>
    <row r="17" spans="1:3">
      <c r="A17" s="2">
        <v>900</v>
      </c>
      <c r="B17" s="29">
        <v>266916</v>
      </c>
      <c r="C17" s="39">
        <v>218316.46</v>
      </c>
    </row>
    <row r="18" spans="1:3">
      <c r="A18" s="136">
        <v>926</v>
      </c>
      <c r="B18" s="29">
        <v>666000</v>
      </c>
      <c r="C18" s="39">
        <v>0</v>
      </c>
    </row>
    <row r="19" spans="1:3">
      <c r="A19" s="2"/>
      <c r="C19" s="29"/>
    </row>
    <row r="42" spans="1:10">
      <c r="A42" s="2"/>
      <c r="B42" s="2"/>
      <c r="C42" s="2"/>
      <c r="D42" s="2"/>
      <c r="E42" s="2"/>
      <c r="F42" s="2"/>
    </row>
    <row r="43" spans="1:10" ht="26.25" customHeight="1">
      <c r="A43" s="242">
        <v>7</v>
      </c>
      <c r="B43" s="242"/>
      <c r="C43" s="242"/>
      <c r="D43" s="242"/>
      <c r="E43" s="242"/>
      <c r="F43" s="242"/>
      <c r="G43" s="2"/>
      <c r="H43" s="2"/>
      <c r="I43" s="2"/>
      <c r="J43" s="2"/>
    </row>
    <row r="44" spans="1:10" ht="12.75" hidden="1" customHeight="1">
      <c r="A44" s="242"/>
      <c r="B44" s="242"/>
      <c r="C44" s="242"/>
      <c r="D44" s="242"/>
      <c r="E44" s="242"/>
      <c r="F44" s="242"/>
      <c r="G44" s="242"/>
      <c r="H44" s="242"/>
      <c r="I44" s="242"/>
      <c r="J44" s="242"/>
    </row>
    <row r="45" spans="1:10" ht="9.75" hidden="1" customHeight="1">
      <c r="A45" s="242"/>
      <c r="B45" s="242"/>
      <c r="C45" s="242"/>
      <c r="D45" s="242"/>
      <c r="E45" s="242"/>
      <c r="F45" s="242"/>
      <c r="G45" s="242"/>
      <c r="H45" s="242"/>
      <c r="I45" s="242"/>
      <c r="J45" s="242"/>
    </row>
    <row r="46" spans="1:10" ht="12.75" hidden="1" customHeight="1">
      <c r="A46" s="242"/>
      <c r="B46" s="242"/>
      <c r="C46" s="242"/>
      <c r="D46" s="242"/>
      <c r="E46" s="242"/>
      <c r="F46" s="242"/>
      <c r="G46" s="242"/>
      <c r="H46" s="242"/>
      <c r="I46" s="242"/>
      <c r="J46" s="242"/>
    </row>
    <row r="47" spans="1:10" ht="12.75" hidden="1" customHeight="1">
      <c r="G47" s="242"/>
      <c r="H47" s="242"/>
      <c r="I47" s="242"/>
      <c r="J47" s="242"/>
    </row>
    <row r="56" spans="1:10">
      <c r="A56" s="242"/>
      <c r="B56" s="242"/>
      <c r="C56" s="242"/>
      <c r="D56" s="242"/>
      <c r="E56" s="242"/>
      <c r="F56" s="242"/>
    </row>
    <row r="57" spans="1:10" ht="35.25" customHeight="1">
      <c r="G57" s="242"/>
      <c r="H57" s="242"/>
      <c r="I57" s="242"/>
      <c r="J57" s="242"/>
    </row>
  </sheetData>
  <phoneticPr fontId="0" type="noConversion"/>
  <pageMargins left="0.82677165354330717" right="0.62992125984251968" top="0.98425196850393704" bottom="0.98425196850393704" header="0.51181102362204722" footer="0.51181102362204722"/>
  <pageSetup paperSize="9" scale="63" orientation="portrait" r:id="rId1"/>
  <headerFooter alignWithMargins="0">
    <oddFooter>&amp;RWykres dochodów Powiatu Białogardzkiego w I półroczu 2010r.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60"/>
  <sheetViews>
    <sheetView view="pageLayout" workbookViewId="0">
      <selection activeCell="D71" sqref="D71"/>
    </sheetView>
  </sheetViews>
  <sheetFormatPr defaultRowHeight="12.75"/>
  <cols>
    <col min="1" max="1" width="4.42578125" style="44" customWidth="1"/>
    <col min="2" max="2" width="5.42578125" style="44" customWidth="1"/>
    <col min="3" max="3" width="4.42578125" style="44" customWidth="1"/>
    <col min="4" max="4" width="39.140625" style="44" customWidth="1"/>
    <col min="5" max="5" width="10.28515625" style="44" customWidth="1"/>
    <col min="6" max="6" width="10.42578125" style="44" customWidth="1"/>
    <col min="7" max="7" width="10.42578125" style="240" customWidth="1"/>
    <col min="8" max="8" width="6.85546875" style="44" customWidth="1"/>
    <col min="9" max="16384" width="9.140625" style="44"/>
  </cols>
  <sheetData>
    <row r="1" spans="1:8">
      <c r="D1" s="411" t="s">
        <v>263</v>
      </c>
      <c r="E1" s="411"/>
      <c r="F1" s="411"/>
      <c r="G1" s="411"/>
      <c r="H1" s="411"/>
    </row>
    <row r="3" spans="1:8">
      <c r="A3" s="444" t="s">
        <v>2</v>
      </c>
      <c r="B3" s="444"/>
      <c r="C3" s="444"/>
      <c r="D3" s="444"/>
      <c r="E3" s="444"/>
      <c r="F3" s="444"/>
      <c r="G3" s="444"/>
      <c r="H3" s="444"/>
    </row>
    <row r="4" spans="1:8">
      <c r="A4" s="444" t="s">
        <v>3</v>
      </c>
      <c r="B4" s="444"/>
      <c r="C4" s="444"/>
      <c r="D4" s="444"/>
      <c r="E4" s="444"/>
      <c r="F4" s="444"/>
      <c r="G4" s="444"/>
      <c r="H4" s="444"/>
    </row>
    <row r="5" spans="1:8">
      <c r="A5" s="445" t="s">
        <v>5</v>
      </c>
      <c r="B5" s="445"/>
      <c r="C5" s="445"/>
      <c r="D5" s="445"/>
      <c r="E5" s="445"/>
      <c r="F5" s="445"/>
      <c r="G5" s="445"/>
      <c r="H5" s="445"/>
    </row>
    <row r="6" spans="1:8">
      <c r="A6" s="444" t="s">
        <v>316</v>
      </c>
      <c r="B6" s="444"/>
      <c r="C6" s="444"/>
      <c r="D6" s="444"/>
      <c r="E6" s="444"/>
      <c r="F6" s="444"/>
      <c r="G6" s="444"/>
      <c r="H6" s="444"/>
    </row>
    <row r="7" spans="1:8" ht="14.25" customHeight="1"/>
    <row r="8" spans="1:8">
      <c r="G8" s="174" t="s">
        <v>144</v>
      </c>
    </row>
    <row r="9" spans="1:8" s="94" customFormat="1" ht="11.25" customHeight="1">
      <c r="A9" s="441" t="s">
        <v>0</v>
      </c>
      <c r="B9" s="441" t="s">
        <v>62</v>
      </c>
      <c r="C9" s="441" t="s">
        <v>63</v>
      </c>
      <c r="D9" s="441" t="s">
        <v>1</v>
      </c>
      <c r="E9" s="440" t="s">
        <v>158</v>
      </c>
      <c r="F9" s="446" t="s">
        <v>127</v>
      </c>
      <c r="G9" s="446"/>
      <c r="H9" s="440" t="s">
        <v>128</v>
      </c>
    </row>
    <row r="10" spans="1:8" s="82" customFormat="1" ht="12.75" customHeight="1">
      <c r="A10" s="442"/>
      <c r="B10" s="442"/>
      <c r="C10" s="442"/>
      <c r="D10" s="442"/>
      <c r="E10" s="436"/>
      <c r="F10" s="436" t="s">
        <v>225</v>
      </c>
      <c r="G10" s="436" t="s">
        <v>226</v>
      </c>
      <c r="H10" s="436"/>
    </row>
    <row r="11" spans="1:8" s="94" customFormat="1" ht="11.25" customHeight="1">
      <c r="A11" s="443"/>
      <c r="B11" s="443"/>
      <c r="C11" s="443"/>
      <c r="D11" s="443"/>
      <c r="E11" s="437"/>
      <c r="F11" s="437"/>
      <c r="G11" s="437"/>
      <c r="H11" s="437"/>
    </row>
    <row r="12" spans="1:8" s="82" customFormat="1" ht="9" customHeight="1">
      <c r="A12" s="45">
        <v>1</v>
      </c>
      <c r="B12" s="45">
        <v>2</v>
      </c>
      <c r="C12" s="45">
        <v>3</v>
      </c>
      <c r="D12" s="45">
        <v>4</v>
      </c>
      <c r="E12" s="45">
        <v>5</v>
      </c>
      <c r="F12" s="45">
        <v>6</v>
      </c>
      <c r="G12" s="241">
        <v>7</v>
      </c>
      <c r="H12" s="241">
        <v>8</v>
      </c>
    </row>
    <row r="13" spans="1:8" s="95" customFormat="1" ht="12">
      <c r="A13" s="520" t="s">
        <v>13</v>
      </c>
      <c r="B13" s="520"/>
      <c r="C13" s="521"/>
      <c r="D13" s="522" t="s">
        <v>27</v>
      </c>
      <c r="E13" s="523">
        <f t="shared" ref="E13:G14" si="0">E14</f>
        <v>50000</v>
      </c>
      <c r="F13" s="523">
        <f t="shared" si="0"/>
        <v>24996</v>
      </c>
      <c r="G13" s="523">
        <f t="shared" si="0"/>
        <v>0</v>
      </c>
      <c r="H13" s="524">
        <f>F13/E13*100</f>
        <v>49.991999999999997</v>
      </c>
    </row>
    <row r="14" spans="1:8" s="86" customFormat="1" ht="12">
      <c r="A14" s="431" t="s">
        <v>12</v>
      </c>
      <c r="B14" s="90" t="s">
        <v>48</v>
      </c>
      <c r="C14" s="87"/>
      <c r="D14" s="246" t="s">
        <v>64</v>
      </c>
      <c r="E14" s="244">
        <f t="shared" si="0"/>
        <v>50000</v>
      </c>
      <c r="F14" s="244">
        <f t="shared" si="0"/>
        <v>24996</v>
      </c>
      <c r="G14" s="244">
        <f t="shared" si="0"/>
        <v>0</v>
      </c>
      <c r="H14" s="245">
        <f>F14/E14*100</f>
        <v>49.991999999999997</v>
      </c>
    </row>
    <row r="15" spans="1:8" s="86" customFormat="1" ht="33.75">
      <c r="A15" s="438"/>
      <c r="B15" s="81"/>
      <c r="C15" s="81">
        <v>2110</v>
      </c>
      <c r="D15" s="122" t="s">
        <v>65</v>
      </c>
      <c r="E15" s="244">
        <v>50000</v>
      </c>
      <c r="F15" s="244">
        <v>24996</v>
      </c>
      <c r="G15" s="244">
        <v>0</v>
      </c>
      <c r="H15" s="245">
        <f>F15/E15*100</f>
        <v>49.991999999999997</v>
      </c>
    </row>
    <row r="16" spans="1:8" s="86" customFormat="1" ht="12">
      <c r="A16" s="525">
        <v>700</v>
      </c>
      <c r="B16" s="525"/>
      <c r="C16" s="525"/>
      <c r="D16" s="526" t="s">
        <v>29</v>
      </c>
      <c r="E16" s="523">
        <f>E17</f>
        <v>90000</v>
      </c>
      <c r="F16" s="523">
        <f>F17</f>
        <v>78954.52</v>
      </c>
      <c r="G16" s="523">
        <f>G17</f>
        <v>0</v>
      </c>
      <c r="H16" s="524">
        <f t="shared" ref="H16:H25" si="1">F16/E16*100</f>
        <v>87.727244444444452</v>
      </c>
    </row>
    <row r="17" spans="1:20" s="86" customFormat="1" ht="12" customHeight="1">
      <c r="A17" s="431" t="s">
        <v>12</v>
      </c>
      <c r="B17" s="81">
        <v>70005</v>
      </c>
      <c r="C17" s="81"/>
      <c r="D17" s="122" t="s">
        <v>70</v>
      </c>
      <c r="E17" s="244">
        <f>SUM(E18:E19)</f>
        <v>90000</v>
      </c>
      <c r="F17" s="244">
        <f>SUM(F18:F19)</f>
        <v>78954.52</v>
      </c>
      <c r="G17" s="244">
        <f>SUM(G18:G19)</f>
        <v>0</v>
      </c>
      <c r="H17" s="245">
        <f t="shared" si="1"/>
        <v>87.727244444444452</v>
      </c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</row>
    <row r="18" spans="1:20" s="95" customFormat="1" ht="33" customHeight="1">
      <c r="A18" s="438"/>
      <c r="B18" s="431"/>
      <c r="C18" s="81">
        <v>2110</v>
      </c>
      <c r="D18" s="122" t="s">
        <v>65</v>
      </c>
      <c r="E18" s="244">
        <v>10000</v>
      </c>
      <c r="F18" s="244">
        <v>6110</v>
      </c>
      <c r="G18" s="244">
        <v>0</v>
      </c>
      <c r="H18" s="245">
        <f t="shared" si="1"/>
        <v>61.1</v>
      </c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</row>
    <row r="19" spans="1:20" s="95" customFormat="1" ht="34.5" customHeight="1">
      <c r="A19" s="432"/>
      <c r="B19" s="432"/>
      <c r="C19" s="81">
        <v>2360</v>
      </c>
      <c r="D19" s="122" t="s">
        <v>131</v>
      </c>
      <c r="E19" s="244">
        <v>80000</v>
      </c>
      <c r="F19" s="244">
        <v>72844.52</v>
      </c>
      <c r="G19" s="244">
        <v>0</v>
      </c>
      <c r="H19" s="245">
        <f t="shared" si="1"/>
        <v>91.055650000000014</v>
      </c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</row>
    <row r="20" spans="1:20" s="86" customFormat="1" ht="15" customHeight="1">
      <c r="A20" s="527">
        <v>710</v>
      </c>
      <c r="B20" s="520"/>
      <c r="C20" s="521"/>
      <c r="D20" s="526" t="s">
        <v>30</v>
      </c>
      <c r="E20" s="523">
        <f>E21+E23+E25</f>
        <v>380000</v>
      </c>
      <c r="F20" s="523">
        <f>F21+F23+F25</f>
        <v>197327.51</v>
      </c>
      <c r="G20" s="523">
        <f>G21+G23+G25</f>
        <v>0</v>
      </c>
      <c r="H20" s="524">
        <f t="shared" si="1"/>
        <v>51.928292105263161</v>
      </c>
    </row>
    <row r="21" spans="1:20" s="86" customFormat="1" ht="14.25" customHeight="1">
      <c r="A21" s="433" t="s">
        <v>12</v>
      </c>
      <c r="B21" s="98">
        <v>71013</v>
      </c>
      <c r="C21" s="87"/>
      <c r="D21" s="122" t="s">
        <v>71</v>
      </c>
      <c r="E21" s="244">
        <f>E22</f>
        <v>85000</v>
      </c>
      <c r="F21" s="244">
        <f>F22</f>
        <v>42498</v>
      </c>
      <c r="G21" s="244">
        <f>G22</f>
        <v>0</v>
      </c>
      <c r="H21" s="245">
        <f t="shared" si="1"/>
        <v>49.997647058823532</v>
      </c>
    </row>
    <row r="22" spans="1:20" s="86" customFormat="1" ht="33.75" customHeight="1">
      <c r="A22" s="434"/>
      <c r="B22" s="99"/>
      <c r="C22" s="81">
        <v>2110</v>
      </c>
      <c r="D22" s="122" t="s">
        <v>65</v>
      </c>
      <c r="E22" s="244">
        <v>85000</v>
      </c>
      <c r="F22" s="244">
        <v>42498</v>
      </c>
      <c r="G22" s="244">
        <v>0</v>
      </c>
      <c r="H22" s="245">
        <f t="shared" si="1"/>
        <v>49.997647058823532</v>
      </c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</row>
    <row r="23" spans="1:20" s="95" customFormat="1" ht="12">
      <c r="A23" s="434"/>
      <c r="B23" s="99">
        <v>71014</v>
      </c>
      <c r="C23" s="81"/>
      <c r="D23" s="122" t="s">
        <v>72</v>
      </c>
      <c r="E23" s="244">
        <f>E24</f>
        <v>22000</v>
      </c>
      <c r="F23" s="244">
        <f>F24</f>
        <v>10998</v>
      </c>
      <c r="G23" s="244">
        <f>G24</f>
        <v>0</v>
      </c>
      <c r="H23" s="245">
        <f t="shared" si="1"/>
        <v>49.990909090909092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</row>
    <row r="24" spans="1:20" s="86" customFormat="1" ht="33" customHeight="1">
      <c r="A24" s="434"/>
      <c r="B24" s="99"/>
      <c r="C24" s="81">
        <v>2110</v>
      </c>
      <c r="D24" s="122" t="s">
        <v>65</v>
      </c>
      <c r="E24" s="244">
        <v>22000</v>
      </c>
      <c r="F24" s="244">
        <v>10998</v>
      </c>
      <c r="G24" s="244">
        <v>0</v>
      </c>
      <c r="H24" s="245">
        <f t="shared" si="1"/>
        <v>49.990909090909092</v>
      </c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</row>
    <row r="25" spans="1:20" s="86" customFormat="1" ht="12">
      <c r="A25" s="434"/>
      <c r="B25" s="238">
        <v>71015</v>
      </c>
      <c r="C25" s="81"/>
      <c r="D25" s="122" t="s">
        <v>73</v>
      </c>
      <c r="E25" s="244">
        <f>SUM(E26:E29)</f>
        <v>273000</v>
      </c>
      <c r="F25" s="244">
        <f>SUM(F26:F29)</f>
        <v>143831.51</v>
      </c>
      <c r="G25" s="244">
        <f>SUM(G26:G29)</f>
        <v>0</v>
      </c>
      <c r="H25" s="245">
        <f t="shared" si="1"/>
        <v>52.685534798534803</v>
      </c>
    </row>
    <row r="26" spans="1:20" s="86" customFormat="1" ht="12">
      <c r="A26" s="434"/>
      <c r="B26" s="433"/>
      <c r="C26" s="100" t="s">
        <v>37</v>
      </c>
      <c r="D26" s="121" t="s">
        <v>38</v>
      </c>
      <c r="E26" s="244">
        <v>0</v>
      </c>
      <c r="F26" s="244">
        <v>26.4</v>
      </c>
      <c r="G26" s="244">
        <v>0</v>
      </c>
      <c r="H26" s="245"/>
    </row>
    <row r="27" spans="1:20" s="86" customFormat="1" ht="12.75" customHeight="1">
      <c r="A27" s="434"/>
      <c r="B27" s="434"/>
      <c r="C27" s="100" t="s">
        <v>49</v>
      </c>
      <c r="D27" s="122" t="s">
        <v>59</v>
      </c>
      <c r="E27" s="244">
        <v>0</v>
      </c>
      <c r="F27" s="244">
        <v>182.11</v>
      </c>
      <c r="G27" s="244">
        <v>0</v>
      </c>
      <c r="H27" s="24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</row>
    <row r="28" spans="1:20" s="86" customFormat="1" ht="34.5" customHeight="1">
      <c r="A28" s="434"/>
      <c r="B28" s="434"/>
      <c r="C28" s="93">
        <v>2110</v>
      </c>
      <c r="D28" s="122" t="s">
        <v>65</v>
      </c>
      <c r="E28" s="244">
        <v>273000</v>
      </c>
      <c r="F28" s="244">
        <v>143618</v>
      </c>
      <c r="G28" s="244">
        <v>0</v>
      </c>
      <c r="H28" s="245">
        <f t="shared" ref="H28:H36" si="2">F28/E28*100</f>
        <v>52.607326007326009</v>
      </c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</row>
    <row r="29" spans="1:20" s="86" customFormat="1" ht="34.5" customHeight="1">
      <c r="A29" s="435"/>
      <c r="B29" s="435"/>
      <c r="C29" s="93">
        <v>2360</v>
      </c>
      <c r="D29" s="122" t="s">
        <v>131</v>
      </c>
      <c r="E29" s="244">
        <v>0</v>
      </c>
      <c r="F29" s="244">
        <v>5</v>
      </c>
      <c r="G29" s="244">
        <v>0</v>
      </c>
      <c r="H29" s="24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</row>
    <row r="30" spans="1:20" s="86" customFormat="1" ht="12">
      <c r="A30" s="521">
        <v>750</v>
      </c>
      <c r="B30" s="521"/>
      <c r="C30" s="521"/>
      <c r="D30" s="526" t="s">
        <v>31</v>
      </c>
      <c r="E30" s="523">
        <f>E31+E33</f>
        <v>125200</v>
      </c>
      <c r="F30" s="523">
        <f>F31+F33</f>
        <v>76182.66</v>
      </c>
      <c r="G30" s="523">
        <f>G31+G33</f>
        <v>0</v>
      </c>
      <c r="H30" s="524">
        <f t="shared" si="2"/>
        <v>60.848769968051123</v>
      </c>
    </row>
    <row r="31" spans="1:20" s="86" customFormat="1" ht="12">
      <c r="A31" s="439" t="s">
        <v>12</v>
      </c>
      <c r="B31" s="87">
        <v>75011</v>
      </c>
      <c r="C31" s="87"/>
      <c r="D31" s="122" t="s">
        <v>75</v>
      </c>
      <c r="E31" s="244">
        <f>E32</f>
        <v>105200</v>
      </c>
      <c r="F31" s="244">
        <f>F32</f>
        <v>57377</v>
      </c>
      <c r="G31" s="244">
        <f>G32</f>
        <v>0</v>
      </c>
      <c r="H31" s="245">
        <f t="shared" si="2"/>
        <v>54.54087452471483</v>
      </c>
    </row>
    <row r="32" spans="1:20" s="86" customFormat="1" ht="33.75">
      <c r="A32" s="439"/>
      <c r="B32" s="87"/>
      <c r="C32" s="81">
        <v>2110</v>
      </c>
      <c r="D32" s="122" t="s">
        <v>65</v>
      </c>
      <c r="E32" s="244">
        <v>105200</v>
      </c>
      <c r="F32" s="244">
        <v>57377</v>
      </c>
      <c r="G32" s="244">
        <v>0</v>
      </c>
      <c r="H32" s="245">
        <f t="shared" si="2"/>
        <v>54.54087452471483</v>
      </c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</row>
    <row r="33" spans="1:8" s="86" customFormat="1" ht="12">
      <c r="A33" s="439"/>
      <c r="B33" s="87">
        <v>75045</v>
      </c>
      <c r="C33" s="87"/>
      <c r="D33" s="122" t="s">
        <v>303</v>
      </c>
      <c r="E33" s="244">
        <f>E34</f>
        <v>20000</v>
      </c>
      <c r="F33" s="244">
        <f>F34</f>
        <v>18805.66</v>
      </c>
      <c r="G33" s="244">
        <f>G34</f>
        <v>0</v>
      </c>
      <c r="H33" s="245">
        <f t="shared" si="2"/>
        <v>94.028300000000002</v>
      </c>
    </row>
    <row r="34" spans="1:8" s="86" customFormat="1" ht="33" customHeight="1">
      <c r="A34" s="439"/>
      <c r="B34" s="81"/>
      <c r="C34" s="81">
        <v>2110</v>
      </c>
      <c r="D34" s="122" t="s">
        <v>65</v>
      </c>
      <c r="E34" s="244">
        <v>20000</v>
      </c>
      <c r="F34" s="244">
        <v>18805.66</v>
      </c>
      <c r="G34" s="244">
        <v>0</v>
      </c>
      <c r="H34" s="245">
        <f t="shared" si="2"/>
        <v>94.028300000000002</v>
      </c>
    </row>
    <row r="35" spans="1:8" s="86" customFormat="1" ht="13.5" customHeight="1">
      <c r="A35" s="528">
        <v>754</v>
      </c>
      <c r="B35" s="525"/>
      <c r="C35" s="525"/>
      <c r="D35" s="526" t="s">
        <v>32</v>
      </c>
      <c r="E35" s="523">
        <f>E36</f>
        <v>3083300</v>
      </c>
      <c r="F35" s="523">
        <f>F36</f>
        <v>1918964.72</v>
      </c>
      <c r="G35" s="523">
        <f>G36</f>
        <v>0</v>
      </c>
      <c r="H35" s="524">
        <f t="shared" si="2"/>
        <v>62.237366458015764</v>
      </c>
    </row>
    <row r="36" spans="1:8" s="86" customFormat="1" ht="12">
      <c r="A36" s="431" t="s">
        <v>12</v>
      </c>
      <c r="B36" s="101">
        <v>75411</v>
      </c>
      <c r="C36" s="81"/>
      <c r="D36" s="122" t="s">
        <v>40</v>
      </c>
      <c r="E36" s="244">
        <f>SUM(E37:E39)</f>
        <v>3083300</v>
      </c>
      <c r="F36" s="244">
        <f>SUM(F37:F39)</f>
        <v>1918964.72</v>
      </c>
      <c r="G36" s="244">
        <f>SUM(G37:G39)</f>
        <v>0</v>
      </c>
      <c r="H36" s="245">
        <f t="shared" si="2"/>
        <v>62.237366458015764</v>
      </c>
    </row>
    <row r="37" spans="1:8" s="86" customFormat="1" ht="12">
      <c r="A37" s="438"/>
      <c r="B37" s="431"/>
      <c r="C37" s="100" t="s">
        <v>49</v>
      </c>
      <c r="D37" s="122" t="s">
        <v>59</v>
      </c>
      <c r="E37" s="244">
        <v>6000</v>
      </c>
      <c r="F37" s="244">
        <v>3110.72</v>
      </c>
      <c r="G37" s="244">
        <v>0</v>
      </c>
      <c r="H37" s="245"/>
    </row>
    <row r="38" spans="1:8" s="86" customFormat="1" ht="12">
      <c r="A38" s="438"/>
      <c r="B38" s="438"/>
      <c r="C38" s="100" t="s">
        <v>56</v>
      </c>
      <c r="D38" s="122" t="s">
        <v>58</v>
      </c>
      <c r="E38" s="244">
        <v>800</v>
      </c>
      <c r="F38" s="244">
        <v>356</v>
      </c>
      <c r="G38" s="244">
        <v>0</v>
      </c>
      <c r="H38" s="245"/>
    </row>
    <row r="39" spans="1:8" s="86" customFormat="1" ht="33.75">
      <c r="A39" s="438"/>
      <c r="B39" s="438"/>
      <c r="C39" s="93">
        <v>2110</v>
      </c>
      <c r="D39" s="122" t="s">
        <v>65</v>
      </c>
      <c r="E39" s="244">
        <v>3076500</v>
      </c>
      <c r="F39" s="244">
        <v>1915498</v>
      </c>
      <c r="G39" s="244">
        <v>0</v>
      </c>
      <c r="H39" s="245">
        <f>F39/E39*100</f>
        <v>62.262246058833092</v>
      </c>
    </row>
    <row r="40" spans="1:8" s="86" customFormat="1" ht="12.75" customHeight="1">
      <c r="A40" s="525">
        <v>851</v>
      </c>
      <c r="B40" s="525"/>
      <c r="C40" s="525"/>
      <c r="D40" s="529" t="s">
        <v>34</v>
      </c>
      <c r="E40" s="523">
        <f t="shared" ref="E40:G41" si="3">E41</f>
        <v>1926000</v>
      </c>
      <c r="F40" s="523">
        <f t="shared" si="3"/>
        <v>1263498</v>
      </c>
      <c r="G40" s="523">
        <f t="shared" si="3"/>
        <v>0</v>
      </c>
      <c r="H40" s="524">
        <f t="shared" ref="H40:H44" si="4">F40/E40*100</f>
        <v>65.602180685358263</v>
      </c>
    </row>
    <row r="41" spans="1:8" s="86" customFormat="1" ht="12">
      <c r="A41" s="438"/>
      <c r="B41" s="81">
        <v>85156</v>
      </c>
      <c r="C41" s="81"/>
      <c r="D41" s="247" t="s">
        <v>87</v>
      </c>
      <c r="E41" s="244">
        <f t="shared" si="3"/>
        <v>1926000</v>
      </c>
      <c r="F41" s="244">
        <f t="shared" si="3"/>
        <v>1263498</v>
      </c>
      <c r="G41" s="244">
        <f t="shared" si="3"/>
        <v>0</v>
      </c>
      <c r="H41" s="245">
        <f t="shared" si="4"/>
        <v>65.602180685358263</v>
      </c>
    </row>
    <row r="42" spans="1:8" s="86" customFormat="1" ht="33" customHeight="1">
      <c r="A42" s="438"/>
      <c r="B42" s="81"/>
      <c r="C42" s="81">
        <v>2110</v>
      </c>
      <c r="D42" s="122" t="s">
        <v>65</v>
      </c>
      <c r="E42" s="244">
        <v>1926000</v>
      </c>
      <c r="F42" s="244">
        <v>1263498</v>
      </c>
      <c r="G42" s="244">
        <v>0</v>
      </c>
      <c r="H42" s="245">
        <f t="shared" si="4"/>
        <v>65.602180685358263</v>
      </c>
    </row>
    <row r="43" spans="1:8" s="86" customFormat="1" ht="12">
      <c r="A43" s="525">
        <v>852</v>
      </c>
      <c r="B43" s="525"/>
      <c r="C43" s="525"/>
      <c r="D43" s="526" t="s">
        <v>35</v>
      </c>
      <c r="E43" s="523">
        <f>E44+E51</f>
        <v>751500</v>
      </c>
      <c r="F43" s="523">
        <f>F44+F51</f>
        <v>414302.03</v>
      </c>
      <c r="G43" s="523">
        <f>G44+G51</f>
        <v>0</v>
      </c>
      <c r="H43" s="524">
        <f t="shared" si="4"/>
        <v>55.130010645375918</v>
      </c>
    </row>
    <row r="44" spans="1:8" s="86" customFormat="1" ht="12">
      <c r="A44" s="431"/>
      <c r="B44" s="81">
        <v>85203</v>
      </c>
      <c r="C44" s="81"/>
      <c r="D44" s="122" t="s">
        <v>90</v>
      </c>
      <c r="E44" s="244">
        <f>SUM(E45:E50)</f>
        <v>432000</v>
      </c>
      <c r="F44" s="244">
        <f>SUM(F45:F50)</f>
        <v>244802.03</v>
      </c>
      <c r="G44" s="244">
        <f>SUM(G45:G50)</f>
        <v>0</v>
      </c>
      <c r="H44" s="245">
        <f t="shared" si="4"/>
        <v>56.667136574074071</v>
      </c>
    </row>
    <row r="45" spans="1:8" s="86" customFormat="1" ht="45">
      <c r="A45" s="438"/>
      <c r="B45" s="438"/>
      <c r="C45" s="80" t="s">
        <v>21</v>
      </c>
      <c r="D45" s="122" t="s">
        <v>132</v>
      </c>
      <c r="E45" s="244">
        <v>0</v>
      </c>
      <c r="F45" s="244">
        <v>5250</v>
      </c>
      <c r="G45" s="244">
        <v>0</v>
      </c>
      <c r="H45" s="245"/>
    </row>
    <row r="46" spans="1:8" s="86" customFormat="1" ht="12">
      <c r="A46" s="438"/>
      <c r="B46" s="438"/>
      <c r="C46" s="80" t="s">
        <v>55</v>
      </c>
      <c r="D46" s="118" t="s">
        <v>57</v>
      </c>
      <c r="E46" s="244">
        <v>0</v>
      </c>
      <c r="F46" s="244">
        <v>203.39</v>
      </c>
      <c r="G46" s="244">
        <v>0</v>
      </c>
      <c r="H46" s="245"/>
    </row>
    <row r="47" spans="1:8" s="86" customFormat="1" ht="12">
      <c r="A47" s="438"/>
      <c r="B47" s="438"/>
      <c r="C47" s="80" t="s">
        <v>49</v>
      </c>
      <c r="D47" s="122" t="s">
        <v>59</v>
      </c>
      <c r="E47" s="244">
        <v>0</v>
      </c>
      <c r="F47" s="244">
        <v>223.81</v>
      </c>
      <c r="G47" s="244">
        <v>0</v>
      </c>
      <c r="H47" s="245"/>
    </row>
    <row r="48" spans="1:8" s="86" customFormat="1" ht="12">
      <c r="A48" s="438"/>
      <c r="B48" s="438"/>
      <c r="C48" s="80" t="s">
        <v>56</v>
      </c>
      <c r="D48" s="122" t="s">
        <v>58</v>
      </c>
      <c r="E48" s="244">
        <v>0</v>
      </c>
      <c r="F48" s="244">
        <v>3067.71</v>
      </c>
      <c r="G48" s="244">
        <v>0</v>
      </c>
      <c r="H48" s="245"/>
    </row>
    <row r="49" spans="1:8" s="86" customFormat="1" ht="33.75">
      <c r="A49" s="438"/>
      <c r="B49" s="438"/>
      <c r="C49" s="81">
        <v>2110</v>
      </c>
      <c r="D49" s="122" t="s">
        <v>65</v>
      </c>
      <c r="E49" s="244">
        <v>432000</v>
      </c>
      <c r="F49" s="244">
        <v>235938</v>
      </c>
      <c r="G49" s="244">
        <v>0</v>
      </c>
      <c r="H49" s="245">
        <f>F49/E49*100</f>
        <v>54.615277777777784</v>
      </c>
    </row>
    <row r="50" spans="1:8" s="86" customFormat="1" ht="33.75">
      <c r="A50" s="438"/>
      <c r="B50" s="432"/>
      <c r="C50" s="81">
        <v>2360</v>
      </c>
      <c r="D50" s="122" t="s">
        <v>131</v>
      </c>
      <c r="E50" s="244">
        <v>0</v>
      </c>
      <c r="F50" s="244">
        <v>119.12</v>
      </c>
      <c r="G50" s="244">
        <v>0</v>
      </c>
      <c r="H50" s="245"/>
    </row>
    <row r="51" spans="1:8" s="86" customFormat="1" ht="13.5" customHeight="1">
      <c r="A51" s="438"/>
      <c r="B51" s="237">
        <v>85205</v>
      </c>
      <c r="C51" s="239"/>
      <c r="D51" s="118" t="s">
        <v>219</v>
      </c>
      <c r="E51" s="244">
        <f>E52</f>
        <v>319500</v>
      </c>
      <c r="F51" s="244">
        <f>F52</f>
        <v>169500</v>
      </c>
      <c r="G51" s="244">
        <f>G52</f>
        <v>0</v>
      </c>
      <c r="H51" s="245">
        <f t="shared" ref="H51:H59" si="5">F51/E51*100</f>
        <v>53.051643192488264</v>
      </c>
    </row>
    <row r="52" spans="1:8" s="86" customFormat="1" ht="33.75">
      <c r="A52" s="432"/>
      <c r="B52" s="237"/>
      <c r="C52" s="239">
        <v>2110</v>
      </c>
      <c r="D52" s="122" t="s">
        <v>65</v>
      </c>
      <c r="E52" s="244">
        <v>319500</v>
      </c>
      <c r="F52" s="244">
        <v>169500</v>
      </c>
      <c r="G52" s="244">
        <v>0</v>
      </c>
      <c r="H52" s="245">
        <f t="shared" si="5"/>
        <v>53.051643192488264</v>
      </c>
    </row>
    <row r="53" spans="1:8" s="86" customFormat="1" ht="12">
      <c r="A53" s="525">
        <v>853</v>
      </c>
      <c r="B53" s="525"/>
      <c r="C53" s="530"/>
      <c r="D53" s="526" t="s">
        <v>36</v>
      </c>
      <c r="E53" s="523">
        <f t="shared" ref="E53:G54" si="6">E54</f>
        <v>83000</v>
      </c>
      <c r="F53" s="523">
        <f t="shared" si="6"/>
        <v>44000</v>
      </c>
      <c r="G53" s="523">
        <f t="shared" si="6"/>
        <v>0</v>
      </c>
      <c r="H53" s="524">
        <f t="shared" si="5"/>
        <v>53.01204819277109</v>
      </c>
    </row>
    <row r="54" spans="1:8" s="86" customFormat="1" ht="12">
      <c r="A54" s="431" t="s">
        <v>12</v>
      </c>
      <c r="B54" s="81">
        <v>85321</v>
      </c>
      <c r="C54" s="81"/>
      <c r="D54" s="122" t="s">
        <v>93</v>
      </c>
      <c r="E54" s="244">
        <f t="shared" si="6"/>
        <v>83000</v>
      </c>
      <c r="F54" s="244">
        <f t="shared" si="6"/>
        <v>44000</v>
      </c>
      <c r="G54" s="244">
        <f t="shared" si="6"/>
        <v>0</v>
      </c>
      <c r="H54" s="245">
        <f t="shared" si="5"/>
        <v>53.01204819277109</v>
      </c>
    </row>
    <row r="55" spans="1:8" s="86" customFormat="1" ht="33.75">
      <c r="A55" s="432"/>
      <c r="B55" s="81"/>
      <c r="C55" s="81">
        <v>2110</v>
      </c>
      <c r="D55" s="122" t="s">
        <v>65</v>
      </c>
      <c r="E55" s="244">
        <v>83000</v>
      </c>
      <c r="F55" s="244">
        <v>44000</v>
      </c>
      <c r="G55" s="244">
        <v>0</v>
      </c>
      <c r="H55" s="245">
        <f t="shared" si="5"/>
        <v>53.01204819277109</v>
      </c>
    </row>
    <row r="56" spans="1:8" s="86" customFormat="1" ht="12">
      <c r="A56" s="531">
        <v>900</v>
      </c>
      <c r="B56" s="532"/>
      <c r="C56" s="532"/>
      <c r="D56" s="533" t="s">
        <v>138</v>
      </c>
      <c r="E56" s="523">
        <f t="shared" ref="E56:G57" si="7">E57</f>
        <v>0</v>
      </c>
      <c r="F56" s="523">
        <f t="shared" si="7"/>
        <v>108.5</v>
      </c>
      <c r="G56" s="534">
        <f t="shared" si="7"/>
        <v>0</v>
      </c>
      <c r="H56" s="535"/>
    </row>
    <row r="57" spans="1:8" s="86" customFormat="1" ht="12">
      <c r="A57" s="431"/>
      <c r="B57" s="81">
        <v>90001</v>
      </c>
      <c r="C57" s="80"/>
      <c r="D57" s="120" t="s">
        <v>306</v>
      </c>
      <c r="E57" s="244">
        <f t="shared" si="7"/>
        <v>0</v>
      </c>
      <c r="F57" s="244">
        <f t="shared" si="7"/>
        <v>108.5</v>
      </c>
      <c r="G57" s="244">
        <f t="shared" si="7"/>
        <v>0</v>
      </c>
      <c r="H57" s="245"/>
    </row>
    <row r="58" spans="1:8" s="86" customFormat="1" ht="33.75">
      <c r="A58" s="432"/>
      <c r="B58" s="81"/>
      <c r="C58" s="81">
        <v>2360</v>
      </c>
      <c r="D58" s="120" t="s">
        <v>131</v>
      </c>
      <c r="E58" s="244">
        <v>0</v>
      </c>
      <c r="F58" s="244">
        <v>108.5</v>
      </c>
      <c r="G58" s="244">
        <v>0</v>
      </c>
      <c r="H58" s="245"/>
    </row>
    <row r="59" spans="1:8" s="86" customFormat="1" ht="12">
      <c r="A59" s="536" t="s">
        <v>26</v>
      </c>
      <c r="B59" s="537"/>
      <c r="C59" s="537"/>
      <c r="D59" s="538"/>
      <c r="E59" s="523">
        <f>E13+E16+E20+E30+E35+E40+E43+E53+E56</f>
        <v>6489000</v>
      </c>
      <c r="F59" s="523">
        <f>F13+F16+F20+F30+F35+F40+F43+F53+F56</f>
        <v>4018333.9400000004</v>
      </c>
      <c r="G59" s="523">
        <f>G13+G16+G20+G30+G35+G40+G43+G53</f>
        <v>0</v>
      </c>
      <c r="H59" s="524">
        <f t="shared" si="5"/>
        <v>61.925318847280018</v>
      </c>
    </row>
    <row r="60" spans="1:8" s="86" customFormat="1" ht="12"/>
  </sheetData>
  <mergeCells count="28">
    <mergeCell ref="A59:D59"/>
    <mergeCell ref="D1:H1"/>
    <mergeCell ref="H9:H11"/>
    <mergeCell ref="C9:C11"/>
    <mergeCell ref="D9:D11"/>
    <mergeCell ref="A4:H4"/>
    <mergeCell ref="A3:H3"/>
    <mergeCell ref="A5:H5"/>
    <mergeCell ref="A6:H6"/>
    <mergeCell ref="E9:E11"/>
    <mergeCell ref="A9:A11"/>
    <mergeCell ref="B9:B11"/>
    <mergeCell ref="A17:A19"/>
    <mergeCell ref="B18:B19"/>
    <mergeCell ref="F9:G9"/>
    <mergeCell ref="G10:G11"/>
    <mergeCell ref="A54:A55"/>
    <mergeCell ref="A57:A58"/>
    <mergeCell ref="B26:B29"/>
    <mergeCell ref="A21:A29"/>
    <mergeCell ref="F10:F11"/>
    <mergeCell ref="A14:A15"/>
    <mergeCell ref="B45:B50"/>
    <mergeCell ref="A36:A39"/>
    <mergeCell ref="B37:B39"/>
    <mergeCell ref="A41:A42"/>
    <mergeCell ref="A31:A34"/>
    <mergeCell ref="A44:A52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>
    <oddFooter>&amp;C&amp;"Times New (W1),Normalny"Tabela Nr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19"/>
  <sheetViews>
    <sheetView view="pageLayout" workbookViewId="0">
      <selection activeCell="A10" sqref="A10"/>
    </sheetView>
  </sheetViews>
  <sheetFormatPr defaultRowHeight="12.75"/>
  <cols>
    <col min="1" max="1" width="4.85546875" style="44" customWidth="1"/>
    <col min="2" max="2" width="6.42578125" style="44" customWidth="1"/>
    <col min="3" max="3" width="5.7109375" style="44" customWidth="1"/>
    <col min="4" max="4" width="38.28515625" style="44" customWidth="1"/>
    <col min="5" max="6" width="11.5703125" style="44" customWidth="1"/>
    <col min="7" max="7" width="7.42578125" style="44" customWidth="1"/>
    <col min="8" max="16384" width="9.140625" style="44"/>
  </cols>
  <sheetData>
    <row r="1" spans="1:7">
      <c r="E1" s="411" t="s">
        <v>262</v>
      </c>
      <c r="F1" s="411"/>
      <c r="G1" s="411"/>
    </row>
    <row r="6" spans="1:7">
      <c r="A6" s="444" t="s">
        <v>2</v>
      </c>
      <c r="B6" s="444"/>
      <c r="C6" s="444"/>
      <c r="D6" s="444"/>
      <c r="E6" s="444"/>
      <c r="F6" s="444"/>
      <c r="G6" s="444"/>
    </row>
    <row r="7" spans="1:7">
      <c r="A7" s="444" t="s">
        <v>3</v>
      </c>
      <c r="B7" s="444"/>
      <c r="C7" s="444"/>
      <c r="D7" s="444"/>
      <c r="E7" s="444"/>
      <c r="F7" s="444"/>
      <c r="G7" s="444"/>
    </row>
    <row r="8" spans="1:7" ht="27.75" customHeight="1">
      <c r="A8" s="445" t="s">
        <v>6</v>
      </c>
      <c r="B8" s="445"/>
      <c r="C8" s="445"/>
      <c r="D8" s="445"/>
      <c r="E8" s="445"/>
      <c r="F8" s="445"/>
      <c r="G8" s="445"/>
    </row>
    <row r="9" spans="1:7">
      <c r="A9" s="444" t="s">
        <v>315</v>
      </c>
      <c r="B9" s="444"/>
      <c r="C9" s="444"/>
      <c r="D9" s="444"/>
      <c r="E9" s="444"/>
      <c r="F9" s="444"/>
      <c r="G9" s="444"/>
    </row>
    <row r="11" spans="1:7">
      <c r="F11" s="174" t="s">
        <v>145</v>
      </c>
    </row>
    <row r="12" spans="1:7" s="94" customFormat="1" ht="10.5">
      <c r="A12" s="441" t="s">
        <v>0</v>
      </c>
      <c r="B12" s="441" t="s">
        <v>62</v>
      </c>
      <c r="C12" s="441" t="s">
        <v>63</v>
      </c>
      <c r="D12" s="441" t="s">
        <v>1</v>
      </c>
      <c r="E12" s="440" t="s">
        <v>158</v>
      </c>
      <c r="F12" s="440" t="s">
        <v>198</v>
      </c>
      <c r="G12" s="440" t="s">
        <v>128</v>
      </c>
    </row>
    <row r="13" spans="1:7" s="82" customFormat="1" ht="11.25">
      <c r="A13" s="442"/>
      <c r="B13" s="442"/>
      <c r="C13" s="442"/>
      <c r="D13" s="442"/>
      <c r="E13" s="436"/>
      <c r="F13" s="436"/>
      <c r="G13" s="436"/>
    </row>
    <row r="14" spans="1:7" s="94" customFormat="1" ht="10.5">
      <c r="A14" s="443"/>
      <c r="B14" s="443"/>
      <c r="C14" s="443"/>
      <c r="D14" s="443"/>
      <c r="E14" s="437"/>
      <c r="F14" s="437"/>
      <c r="G14" s="437"/>
    </row>
    <row r="15" spans="1:7" s="82" customFormat="1" ht="9" customHeight="1">
      <c r="A15" s="45">
        <v>1</v>
      </c>
      <c r="B15" s="45">
        <v>2</v>
      </c>
      <c r="C15" s="45">
        <v>3</v>
      </c>
      <c r="D15" s="45">
        <v>4</v>
      </c>
      <c r="E15" s="45">
        <v>5</v>
      </c>
      <c r="F15" s="45">
        <v>6</v>
      </c>
      <c r="G15" s="45">
        <v>7</v>
      </c>
    </row>
    <row r="16" spans="1:7" s="86" customFormat="1" ht="14.25" customHeight="1">
      <c r="A16" s="83">
        <v>750</v>
      </c>
      <c r="B16" s="83"/>
      <c r="C16" s="83"/>
      <c r="D16" s="92" t="s">
        <v>31</v>
      </c>
      <c r="E16" s="97">
        <f>E17</f>
        <v>500</v>
      </c>
      <c r="F16" s="84">
        <f>F17</f>
        <v>0</v>
      </c>
      <c r="G16" s="85">
        <f t="shared" ref="G16:G19" si="0">F16/E16*100</f>
        <v>0</v>
      </c>
    </row>
    <row r="17" spans="1:7" s="86" customFormat="1" ht="12">
      <c r="A17" s="439"/>
      <c r="B17" s="87">
        <v>75045</v>
      </c>
      <c r="C17" s="87"/>
      <c r="D17" s="64" t="s">
        <v>303</v>
      </c>
      <c r="E17" s="96">
        <f>E18</f>
        <v>500</v>
      </c>
      <c r="F17" s="88">
        <f>F18</f>
        <v>0</v>
      </c>
      <c r="G17" s="89">
        <f t="shared" si="0"/>
        <v>0</v>
      </c>
    </row>
    <row r="18" spans="1:7" s="86" customFormat="1" ht="36.75" customHeight="1">
      <c r="A18" s="439"/>
      <c r="B18" s="81"/>
      <c r="C18" s="81">
        <v>2120</v>
      </c>
      <c r="D18" s="64" t="s">
        <v>24</v>
      </c>
      <c r="E18" s="96">
        <v>500</v>
      </c>
      <c r="F18" s="88">
        <v>0</v>
      </c>
      <c r="G18" s="89">
        <f t="shared" si="0"/>
        <v>0</v>
      </c>
    </row>
    <row r="19" spans="1:7" s="86" customFormat="1" ht="12">
      <c r="A19" s="447" t="s">
        <v>26</v>
      </c>
      <c r="B19" s="447"/>
      <c r="C19" s="447"/>
      <c r="D19" s="447"/>
      <c r="E19" s="97">
        <f>E16</f>
        <v>500</v>
      </c>
      <c r="F19" s="84">
        <f>F16</f>
        <v>0</v>
      </c>
      <c r="G19" s="85">
        <f t="shared" si="0"/>
        <v>0</v>
      </c>
    </row>
  </sheetData>
  <mergeCells count="14">
    <mergeCell ref="A19:D19"/>
    <mergeCell ref="A17:A18"/>
    <mergeCell ref="F12:F14"/>
    <mergeCell ref="G12:G14"/>
    <mergeCell ref="E12:E14"/>
    <mergeCell ref="A12:A14"/>
    <mergeCell ref="B12:B14"/>
    <mergeCell ref="C12:C14"/>
    <mergeCell ref="D12:D14"/>
    <mergeCell ref="E1:G1"/>
    <mergeCell ref="A6:G6"/>
    <mergeCell ref="A7:G7"/>
    <mergeCell ref="A8:G8"/>
    <mergeCell ref="A9:G9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>
    <oddFooter>&amp;C&amp;"Times New (W1),Normalny"Tabela Nr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97"/>
  <sheetViews>
    <sheetView showWhiteSpace="0" topLeftCell="A55" workbookViewId="0">
      <selection activeCell="I24" sqref="I24"/>
    </sheetView>
  </sheetViews>
  <sheetFormatPr defaultRowHeight="12.75"/>
  <cols>
    <col min="1" max="1" width="4.42578125" customWidth="1"/>
    <col min="2" max="2" width="6" customWidth="1"/>
    <col min="3" max="3" width="33.28515625" customWidth="1"/>
    <col min="4" max="4" width="11.5703125" customWidth="1"/>
    <col min="5" max="5" width="12.140625" customWidth="1"/>
    <col min="6" max="6" width="12" customWidth="1"/>
    <col min="7" max="7" width="11.42578125" customWidth="1"/>
    <col min="8" max="8" width="12.28515625" customWidth="1"/>
    <col min="9" max="9" width="12.42578125" customWidth="1"/>
    <col min="10" max="10" width="10.5703125" customWidth="1"/>
    <col min="11" max="11" width="11.42578125" customWidth="1"/>
    <col min="12" max="12" width="9.5703125" customWidth="1"/>
    <col min="13" max="13" width="11.140625" customWidth="1"/>
    <col min="14" max="14" width="10.7109375" customWidth="1"/>
    <col min="15" max="15" width="10.28515625" customWidth="1"/>
    <col min="16" max="16" width="6.42578125" style="115" customWidth="1"/>
  </cols>
  <sheetData>
    <row r="1" spans="1:35">
      <c r="A1" s="42"/>
      <c r="B1" s="42"/>
      <c r="C1" s="42"/>
      <c r="D1" s="42"/>
      <c r="E1" s="42"/>
      <c r="F1" s="42"/>
      <c r="G1" s="42"/>
      <c r="H1" s="42"/>
      <c r="I1" s="454" t="s">
        <v>264</v>
      </c>
      <c r="J1" s="454"/>
      <c r="K1" s="454"/>
      <c r="L1" s="454"/>
      <c r="M1" s="454"/>
      <c r="N1" s="454"/>
      <c r="O1" s="454"/>
      <c r="P1" s="454"/>
    </row>
    <row r="2" spans="1:35" ht="14.25">
      <c r="A2" s="465" t="s">
        <v>7</v>
      </c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</row>
    <row r="3" spans="1:35" ht="14.25">
      <c r="A3" s="465" t="s">
        <v>3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  <c r="M3" s="465"/>
      <c r="N3" s="465"/>
      <c r="O3" s="465"/>
      <c r="P3" s="465"/>
    </row>
    <row r="4" spans="1:35" ht="15.75" customHeight="1">
      <c r="A4" s="466" t="s">
        <v>4</v>
      </c>
      <c r="B4" s="466"/>
      <c r="C4" s="466"/>
      <c r="D4" s="466"/>
      <c r="E4" s="466"/>
      <c r="F4" s="466"/>
      <c r="G4" s="466"/>
      <c r="H4" s="466"/>
      <c r="I4" s="466"/>
      <c r="J4" s="466"/>
      <c r="K4" s="466"/>
      <c r="L4" s="466"/>
      <c r="M4" s="466"/>
      <c r="N4" s="466"/>
      <c r="O4" s="466"/>
      <c r="P4" s="466"/>
    </row>
    <row r="5" spans="1:35" ht="14.25">
      <c r="A5" s="465" t="s">
        <v>315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P5" s="465"/>
    </row>
    <row r="6" spans="1:3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116"/>
    </row>
    <row r="7" spans="1:35">
      <c r="A7" s="42" t="s">
        <v>265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68" t="s">
        <v>144</v>
      </c>
      <c r="N7" s="68"/>
      <c r="O7" s="68"/>
    </row>
    <row r="8" spans="1:35" s="6" customFormat="1" ht="12.75" customHeight="1">
      <c r="A8" s="457" t="s">
        <v>0</v>
      </c>
      <c r="B8" s="457" t="s">
        <v>8</v>
      </c>
      <c r="C8" s="457" t="s">
        <v>1</v>
      </c>
      <c r="D8" s="467" t="s">
        <v>158</v>
      </c>
      <c r="E8" s="397" t="s">
        <v>127</v>
      </c>
      <c r="F8" s="455" t="s">
        <v>148</v>
      </c>
      <c r="G8" s="456"/>
      <c r="H8" s="456"/>
      <c r="I8" s="456"/>
      <c r="J8" s="456"/>
      <c r="K8" s="456"/>
      <c r="L8" s="456"/>
      <c r="M8" s="456"/>
      <c r="N8" s="359"/>
      <c r="O8" s="359"/>
      <c r="P8" s="459" t="s">
        <v>124</v>
      </c>
    </row>
    <row r="9" spans="1:35" s="6" customFormat="1" ht="12.75" customHeight="1">
      <c r="A9" s="457"/>
      <c r="B9" s="457"/>
      <c r="C9" s="457"/>
      <c r="D9" s="467"/>
      <c r="E9" s="398"/>
      <c r="F9" s="458" t="s">
        <v>9</v>
      </c>
      <c r="G9" s="462" t="s">
        <v>10</v>
      </c>
      <c r="H9" s="463"/>
      <c r="I9" s="463"/>
      <c r="J9" s="463"/>
      <c r="K9" s="463"/>
      <c r="L9" s="464"/>
      <c r="M9" s="457" t="s">
        <v>318</v>
      </c>
      <c r="N9" s="467" t="s">
        <v>10</v>
      </c>
      <c r="O9" s="468"/>
      <c r="P9" s="460"/>
    </row>
    <row r="10" spans="1:35" s="6" customFormat="1" ht="73.5" customHeight="1">
      <c r="A10" s="457"/>
      <c r="B10" s="457"/>
      <c r="C10" s="457"/>
      <c r="D10" s="467"/>
      <c r="E10" s="399"/>
      <c r="F10" s="458"/>
      <c r="G10" s="123" t="s">
        <v>221</v>
      </c>
      <c r="H10" s="123" t="s">
        <v>224</v>
      </c>
      <c r="I10" s="123" t="s">
        <v>222</v>
      </c>
      <c r="J10" s="123" t="s">
        <v>350</v>
      </c>
      <c r="K10" s="232" t="s">
        <v>223</v>
      </c>
      <c r="L10" s="123" t="s">
        <v>11</v>
      </c>
      <c r="M10" s="457"/>
      <c r="N10" s="324" t="s">
        <v>320</v>
      </c>
      <c r="O10" s="362" t="s">
        <v>319</v>
      </c>
      <c r="P10" s="461"/>
    </row>
    <row r="11" spans="1:35" s="66" customFormat="1" ht="11.25">
      <c r="A11" s="49">
        <v>1</v>
      </c>
      <c r="B11" s="49">
        <v>2</v>
      </c>
      <c r="C11" s="49">
        <v>3</v>
      </c>
      <c r="D11" s="49">
        <v>4</v>
      </c>
      <c r="E11" s="119">
        <v>5</v>
      </c>
      <c r="F11" s="49">
        <v>6</v>
      </c>
      <c r="G11" s="49">
        <v>7</v>
      </c>
      <c r="H11" s="49">
        <v>8</v>
      </c>
      <c r="I11" s="49">
        <v>9</v>
      </c>
      <c r="J11" s="187">
        <v>10</v>
      </c>
      <c r="K11" s="187">
        <v>11</v>
      </c>
      <c r="L11" s="187">
        <v>12</v>
      </c>
      <c r="M11" s="187">
        <v>13</v>
      </c>
      <c r="N11" s="187">
        <v>14</v>
      </c>
      <c r="O11" s="187">
        <v>15</v>
      </c>
      <c r="P11" s="187">
        <v>16</v>
      </c>
    </row>
    <row r="12" spans="1:35" s="3" customFormat="1">
      <c r="A12" s="195" t="s">
        <v>13</v>
      </c>
      <c r="B12" s="197"/>
      <c r="C12" s="192" t="s">
        <v>27</v>
      </c>
      <c r="D12" s="369">
        <f>D13+D14</f>
        <v>50325</v>
      </c>
      <c r="E12" s="369">
        <f t="shared" ref="E12:M12" si="0">E13+E14</f>
        <v>9569</v>
      </c>
      <c r="F12" s="369">
        <f t="shared" si="0"/>
        <v>9569</v>
      </c>
      <c r="G12" s="366">
        <f t="shared" si="0"/>
        <v>0</v>
      </c>
      <c r="H12" s="369">
        <f t="shared" si="0"/>
        <v>9569</v>
      </c>
      <c r="I12" s="366">
        <f t="shared" si="0"/>
        <v>0</v>
      </c>
      <c r="J12" s="366">
        <f t="shared" si="0"/>
        <v>0</v>
      </c>
      <c r="K12" s="366">
        <f t="shared" si="0"/>
        <v>0</v>
      </c>
      <c r="L12" s="366">
        <f t="shared" si="0"/>
        <v>0</v>
      </c>
      <c r="M12" s="366">
        <f t="shared" si="0"/>
        <v>0</v>
      </c>
      <c r="N12" s="366">
        <f t="shared" ref="N12:O12" si="1">N13+N14</f>
        <v>0</v>
      </c>
      <c r="O12" s="366">
        <f t="shared" si="1"/>
        <v>0</v>
      </c>
      <c r="P12" s="300">
        <f>E12/D12*100</f>
        <v>19.014406358668655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</row>
    <row r="13" spans="1:35" ht="22.5">
      <c r="A13" s="401" t="s">
        <v>12</v>
      </c>
      <c r="B13" s="149" t="s">
        <v>48</v>
      </c>
      <c r="C13" s="361" t="s">
        <v>64</v>
      </c>
      <c r="D13" s="370">
        <v>50000</v>
      </c>
      <c r="E13" s="370">
        <v>9244</v>
      </c>
      <c r="F13" s="370">
        <f>E13</f>
        <v>9244</v>
      </c>
      <c r="G13" s="367">
        <v>0</v>
      </c>
      <c r="H13" s="370">
        <f>F13</f>
        <v>9244</v>
      </c>
      <c r="I13" s="367">
        <v>0</v>
      </c>
      <c r="J13" s="367">
        <v>0</v>
      </c>
      <c r="K13" s="367">
        <v>0</v>
      </c>
      <c r="L13" s="367">
        <v>0</v>
      </c>
      <c r="M13" s="367">
        <v>0</v>
      </c>
      <c r="N13" s="367">
        <v>0</v>
      </c>
      <c r="O13" s="367">
        <v>0</v>
      </c>
      <c r="P13" s="300">
        <f t="shared" ref="P13:P74" si="2">E13/D13*100</f>
        <v>18.488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</row>
    <row r="14" spans="1:35">
      <c r="A14" s="403"/>
      <c r="B14" s="149" t="s">
        <v>202</v>
      </c>
      <c r="C14" s="182" t="s">
        <v>74</v>
      </c>
      <c r="D14" s="370">
        <v>325</v>
      </c>
      <c r="E14" s="370">
        <v>325</v>
      </c>
      <c r="F14" s="370">
        <f>E14</f>
        <v>325</v>
      </c>
      <c r="G14" s="367">
        <v>0</v>
      </c>
      <c r="H14" s="370">
        <f>F14</f>
        <v>325</v>
      </c>
      <c r="I14" s="367">
        <v>0</v>
      </c>
      <c r="J14" s="367">
        <v>0</v>
      </c>
      <c r="K14" s="367">
        <v>0</v>
      </c>
      <c r="L14" s="367">
        <v>0</v>
      </c>
      <c r="M14" s="367">
        <v>0</v>
      </c>
      <c r="N14" s="367">
        <v>0</v>
      </c>
      <c r="O14" s="367">
        <v>0</v>
      </c>
      <c r="P14" s="300">
        <f t="shared" si="2"/>
        <v>100</v>
      </c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</row>
    <row r="15" spans="1:35" s="4" customFormat="1">
      <c r="A15" s="195" t="s">
        <v>14</v>
      </c>
      <c r="B15" s="195"/>
      <c r="C15" s="192" t="s">
        <v>28</v>
      </c>
      <c r="D15" s="369">
        <f>D16+D17</f>
        <v>320000</v>
      </c>
      <c r="E15" s="369">
        <f t="shared" ref="E15:M15" si="3">E16+E17</f>
        <v>141059.57999999999</v>
      </c>
      <c r="F15" s="369">
        <f t="shared" si="3"/>
        <v>141059.57999999999</v>
      </c>
      <c r="G15" s="366">
        <f t="shared" si="3"/>
        <v>0</v>
      </c>
      <c r="H15" s="369">
        <f t="shared" si="3"/>
        <v>14702.19</v>
      </c>
      <c r="I15" s="366">
        <f t="shared" si="3"/>
        <v>0</v>
      </c>
      <c r="J15" s="369">
        <f t="shared" si="3"/>
        <v>126357.39</v>
      </c>
      <c r="K15" s="366">
        <f t="shared" si="3"/>
        <v>0</v>
      </c>
      <c r="L15" s="366">
        <f t="shared" si="3"/>
        <v>0</v>
      </c>
      <c r="M15" s="366">
        <f t="shared" si="3"/>
        <v>0</v>
      </c>
      <c r="N15" s="366">
        <f t="shared" ref="N15:O15" si="4">N16+N17</f>
        <v>0</v>
      </c>
      <c r="O15" s="366">
        <f t="shared" si="4"/>
        <v>0</v>
      </c>
      <c r="P15" s="300">
        <f t="shared" si="2"/>
        <v>44.081118749999995</v>
      </c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>
      <c r="A16" s="401"/>
      <c r="B16" s="149" t="s">
        <v>66</v>
      </c>
      <c r="C16" s="182" t="s">
        <v>67</v>
      </c>
      <c r="D16" s="370">
        <v>270000</v>
      </c>
      <c r="E16" s="370">
        <v>126357.39</v>
      </c>
      <c r="F16" s="370">
        <f>E16</f>
        <v>126357.39</v>
      </c>
      <c r="G16" s="367">
        <v>0</v>
      </c>
      <c r="H16" s="367">
        <v>0</v>
      </c>
      <c r="I16" s="367">
        <v>0</v>
      </c>
      <c r="J16" s="370">
        <f>F16</f>
        <v>126357.39</v>
      </c>
      <c r="K16" s="367">
        <v>0</v>
      </c>
      <c r="L16" s="367">
        <v>0</v>
      </c>
      <c r="M16" s="367">
        <v>0</v>
      </c>
      <c r="N16" s="367">
        <v>0</v>
      </c>
      <c r="O16" s="367">
        <v>0</v>
      </c>
      <c r="P16" s="300">
        <f t="shared" si="2"/>
        <v>46.799033333333334</v>
      </c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</row>
    <row r="17" spans="1:35">
      <c r="A17" s="402"/>
      <c r="B17" s="149" t="s">
        <v>101</v>
      </c>
      <c r="C17" s="361" t="s">
        <v>102</v>
      </c>
      <c r="D17" s="370">
        <v>50000</v>
      </c>
      <c r="E17" s="370">
        <v>14702.19</v>
      </c>
      <c r="F17" s="370">
        <f>E17</f>
        <v>14702.19</v>
      </c>
      <c r="G17" s="367">
        <v>0</v>
      </c>
      <c r="H17" s="370">
        <f>F17</f>
        <v>14702.19</v>
      </c>
      <c r="I17" s="367">
        <v>0</v>
      </c>
      <c r="J17" s="367">
        <v>0</v>
      </c>
      <c r="K17" s="367">
        <v>0</v>
      </c>
      <c r="L17" s="367">
        <v>0</v>
      </c>
      <c r="M17" s="367">
        <v>0</v>
      </c>
      <c r="N17" s="367">
        <v>0</v>
      </c>
      <c r="O17" s="367">
        <v>0</v>
      </c>
      <c r="P17" s="300">
        <f t="shared" si="2"/>
        <v>29.404380000000003</v>
      </c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</row>
    <row r="18" spans="1:35" s="4" customFormat="1">
      <c r="A18" s="194">
        <v>600</v>
      </c>
      <c r="B18" s="195"/>
      <c r="C18" s="363" t="s">
        <v>69</v>
      </c>
      <c r="D18" s="369">
        <f>D19+D20</f>
        <v>7358774.5100000007</v>
      </c>
      <c r="E18" s="369">
        <f t="shared" ref="E18:M18" si="5">E19+E20</f>
        <v>1475472.2</v>
      </c>
      <c r="F18" s="369">
        <f t="shared" si="5"/>
        <v>1354712.9100000001</v>
      </c>
      <c r="G18" s="369">
        <f t="shared" si="5"/>
        <v>567171.25</v>
      </c>
      <c r="H18" s="369">
        <f t="shared" si="5"/>
        <v>699134.8400000002</v>
      </c>
      <c r="I18" s="369">
        <f t="shared" si="5"/>
        <v>80000</v>
      </c>
      <c r="J18" s="369">
        <f t="shared" si="5"/>
        <v>8406.82</v>
      </c>
      <c r="K18" s="366">
        <f t="shared" si="5"/>
        <v>0</v>
      </c>
      <c r="L18" s="366">
        <f t="shared" si="5"/>
        <v>0</v>
      </c>
      <c r="M18" s="369">
        <f t="shared" si="5"/>
        <v>120759.29</v>
      </c>
      <c r="N18" s="369">
        <f t="shared" ref="N18:O18" si="6">N19+N20</f>
        <v>120759.29</v>
      </c>
      <c r="O18" s="369">
        <f t="shared" si="6"/>
        <v>37328.92</v>
      </c>
      <c r="P18" s="300">
        <f t="shared" si="2"/>
        <v>20.050515177424561</v>
      </c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1:35">
      <c r="A19" s="450"/>
      <c r="B19" s="149">
        <v>60014</v>
      </c>
      <c r="C19" s="361" t="s">
        <v>39</v>
      </c>
      <c r="D19" s="370">
        <v>7079515.8600000003</v>
      </c>
      <c r="E19" s="370">
        <v>1438143.28</v>
      </c>
      <c r="F19" s="370">
        <f>E19-M19</f>
        <v>1354712.9100000001</v>
      </c>
      <c r="G19" s="370">
        <f>428412.87+55297.11+70595.47+7865.8+5000</f>
        <v>567171.25</v>
      </c>
      <c r="H19" s="370">
        <f>F19-G19-J19-I19</f>
        <v>699134.8400000002</v>
      </c>
      <c r="I19" s="370">
        <v>80000</v>
      </c>
      <c r="J19" s="370">
        <v>8406.82</v>
      </c>
      <c r="K19" s="367">
        <v>0</v>
      </c>
      <c r="L19" s="367">
        <v>0</v>
      </c>
      <c r="M19" s="370">
        <v>83430.37</v>
      </c>
      <c r="N19" s="370">
        <v>83430.37</v>
      </c>
      <c r="O19" s="367">
        <v>0</v>
      </c>
      <c r="P19" s="300">
        <f t="shared" si="2"/>
        <v>20.314147301027447</v>
      </c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</row>
    <row r="20" spans="1:35">
      <c r="A20" s="451"/>
      <c r="B20" s="149">
        <v>60016</v>
      </c>
      <c r="C20" s="361" t="s">
        <v>203</v>
      </c>
      <c r="D20" s="370">
        <v>279258.65000000002</v>
      </c>
      <c r="E20" s="370">
        <v>37328.92</v>
      </c>
      <c r="F20" s="367">
        <v>0</v>
      </c>
      <c r="G20" s="367">
        <v>0</v>
      </c>
      <c r="H20" s="367">
        <v>0</v>
      </c>
      <c r="I20" s="367">
        <v>0</v>
      </c>
      <c r="J20" s="367">
        <v>0</v>
      </c>
      <c r="K20" s="367">
        <v>0</v>
      </c>
      <c r="L20" s="367">
        <v>0</v>
      </c>
      <c r="M20" s="370">
        <v>37328.92</v>
      </c>
      <c r="N20" s="370">
        <f>M20</f>
        <v>37328.92</v>
      </c>
      <c r="O20" s="370">
        <v>37328.92</v>
      </c>
      <c r="P20" s="300">
        <f t="shared" si="2"/>
        <v>13.367149056976388</v>
      </c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</row>
    <row r="21" spans="1:35" s="4" customFormat="1">
      <c r="A21" s="194">
        <v>700</v>
      </c>
      <c r="B21" s="195"/>
      <c r="C21" s="363" t="s">
        <v>29</v>
      </c>
      <c r="D21" s="369">
        <f>D22</f>
        <v>257027</v>
      </c>
      <c r="E21" s="369">
        <f t="shared" ref="E21:O21" si="7">E22</f>
        <v>88831</v>
      </c>
      <c r="F21" s="369">
        <f t="shared" si="7"/>
        <v>88831</v>
      </c>
      <c r="G21" s="366">
        <f t="shared" si="7"/>
        <v>0</v>
      </c>
      <c r="H21" s="369">
        <f t="shared" si="7"/>
        <v>88831</v>
      </c>
      <c r="I21" s="366">
        <f t="shared" si="7"/>
        <v>0</v>
      </c>
      <c r="J21" s="366">
        <f t="shared" si="7"/>
        <v>0</v>
      </c>
      <c r="K21" s="366">
        <f t="shared" si="7"/>
        <v>0</v>
      </c>
      <c r="L21" s="366">
        <f t="shared" si="7"/>
        <v>0</v>
      </c>
      <c r="M21" s="366">
        <f t="shared" si="7"/>
        <v>0</v>
      </c>
      <c r="N21" s="366">
        <f t="shared" si="7"/>
        <v>0</v>
      </c>
      <c r="O21" s="366">
        <f t="shared" si="7"/>
        <v>0</v>
      </c>
      <c r="P21" s="300">
        <f t="shared" si="2"/>
        <v>34.560960521657258</v>
      </c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1:35" ht="12.75" customHeight="1">
      <c r="A22" s="208" t="s">
        <v>12</v>
      </c>
      <c r="B22" s="186">
        <v>70005</v>
      </c>
      <c r="C22" s="361" t="s">
        <v>70</v>
      </c>
      <c r="D22" s="370">
        <v>257027</v>
      </c>
      <c r="E22" s="370">
        <v>88831</v>
      </c>
      <c r="F22" s="370">
        <f>E22-M22</f>
        <v>88831</v>
      </c>
      <c r="G22" s="367">
        <v>0</v>
      </c>
      <c r="H22" s="370">
        <f>F22</f>
        <v>88831</v>
      </c>
      <c r="I22" s="367">
        <v>0</v>
      </c>
      <c r="J22" s="367">
        <v>0</v>
      </c>
      <c r="K22" s="367">
        <v>0</v>
      </c>
      <c r="L22" s="367">
        <v>0</v>
      </c>
      <c r="M22" s="367">
        <v>0</v>
      </c>
      <c r="N22" s="367">
        <v>0</v>
      </c>
      <c r="O22" s="367">
        <v>0</v>
      </c>
      <c r="P22" s="300">
        <f t="shared" si="2"/>
        <v>34.560960521657258</v>
      </c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</row>
    <row r="23" spans="1:35" s="4" customFormat="1">
      <c r="A23" s="194">
        <v>710</v>
      </c>
      <c r="B23" s="194"/>
      <c r="C23" s="363" t="s">
        <v>103</v>
      </c>
      <c r="D23" s="369">
        <f>D24+D25+D26</f>
        <v>380000</v>
      </c>
      <c r="E23" s="369">
        <f t="shared" ref="E23:M23" si="8">E24+E25+E26</f>
        <v>138831.38</v>
      </c>
      <c r="F23" s="369">
        <f t="shared" si="8"/>
        <v>138831.38</v>
      </c>
      <c r="G23" s="369">
        <f t="shared" si="8"/>
        <v>127196.45</v>
      </c>
      <c r="H23" s="369">
        <f t="shared" si="8"/>
        <v>11634.930000000008</v>
      </c>
      <c r="I23" s="366">
        <f t="shared" si="8"/>
        <v>0</v>
      </c>
      <c r="J23" s="366">
        <f t="shared" si="8"/>
        <v>0</v>
      </c>
      <c r="K23" s="366">
        <f t="shared" si="8"/>
        <v>0</v>
      </c>
      <c r="L23" s="366">
        <f t="shared" si="8"/>
        <v>0</v>
      </c>
      <c r="M23" s="366">
        <f t="shared" si="8"/>
        <v>0</v>
      </c>
      <c r="N23" s="366">
        <f t="shared" ref="N23:O23" si="9">N24+N25+N26</f>
        <v>0</v>
      </c>
      <c r="O23" s="366">
        <f t="shared" si="9"/>
        <v>0</v>
      </c>
      <c r="P23" s="300">
        <f t="shared" si="2"/>
        <v>36.534573684210528</v>
      </c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</row>
    <row r="24" spans="1:35">
      <c r="A24" s="400" t="s">
        <v>12</v>
      </c>
      <c r="B24" s="186">
        <v>71013</v>
      </c>
      <c r="C24" s="361" t="s">
        <v>104</v>
      </c>
      <c r="D24" s="370">
        <v>85000</v>
      </c>
      <c r="E24" s="367">
        <v>0</v>
      </c>
      <c r="F24" s="367">
        <v>0</v>
      </c>
      <c r="G24" s="367">
        <v>0</v>
      </c>
      <c r="H24" s="367">
        <v>0</v>
      </c>
      <c r="I24" s="367">
        <v>0</v>
      </c>
      <c r="J24" s="367">
        <v>0</v>
      </c>
      <c r="K24" s="367">
        <v>0</v>
      </c>
      <c r="L24" s="367">
        <v>0</v>
      </c>
      <c r="M24" s="367">
        <v>0</v>
      </c>
      <c r="N24" s="367">
        <v>0</v>
      </c>
      <c r="O24" s="367">
        <v>0</v>
      </c>
      <c r="P24" s="300">
        <f t="shared" si="2"/>
        <v>0</v>
      </c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</row>
    <row r="25" spans="1:35" ht="12.75" customHeight="1">
      <c r="A25" s="400"/>
      <c r="B25" s="186">
        <v>71014</v>
      </c>
      <c r="C25" s="182" t="s">
        <v>72</v>
      </c>
      <c r="D25" s="370">
        <v>22000</v>
      </c>
      <c r="E25" s="367">
        <v>0</v>
      </c>
      <c r="F25" s="367">
        <v>0</v>
      </c>
      <c r="G25" s="367">
        <v>0</v>
      </c>
      <c r="H25" s="367">
        <v>0</v>
      </c>
      <c r="I25" s="367">
        <v>0</v>
      </c>
      <c r="J25" s="367">
        <v>0</v>
      </c>
      <c r="K25" s="367">
        <v>0</v>
      </c>
      <c r="L25" s="367">
        <v>0</v>
      </c>
      <c r="M25" s="367">
        <v>0</v>
      </c>
      <c r="N25" s="367">
        <v>0</v>
      </c>
      <c r="O25" s="367">
        <v>0</v>
      </c>
      <c r="P25" s="300">
        <f t="shared" si="2"/>
        <v>0</v>
      </c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</row>
    <row r="26" spans="1:35" ht="15" customHeight="1">
      <c r="A26" s="400"/>
      <c r="B26" s="186">
        <v>71015</v>
      </c>
      <c r="C26" s="182" t="s">
        <v>73</v>
      </c>
      <c r="D26" s="370">
        <v>273000</v>
      </c>
      <c r="E26" s="370">
        <v>138831.38</v>
      </c>
      <c r="F26" s="370">
        <f>E26</f>
        <v>138831.38</v>
      </c>
      <c r="G26" s="370">
        <f>34262.4+58439.43+15360.54+17183.91+1950.17</f>
        <v>127196.45</v>
      </c>
      <c r="H26" s="370">
        <f>F26-G26</f>
        <v>11634.930000000008</v>
      </c>
      <c r="I26" s="367">
        <v>0</v>
      </c>
      <c r="J26" s="367">
        <v>0</v>
      </c>
      <c r="K26" s="367">
        <v>0</v>
      </c>
      <c r="L26" s="367">
        <v>0</v>
      </c>
      <c r="M26" s="367">
        <v>0</v>
      </c>
      <c r="N26" s="367">
        <v>0</v>
      </c>
      <c r="O26" s="367">
        <v>0</v>
      </c>
      <c r="P26" s="300">
        <f t="shared" si="2"/>
        <v>50.853985347985351</v>
      </c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</row>
    <row r="27" spans="1:35" s="4" customFormat="1">
      <c r="A27" s="194">
        <v>750</v>
      </c>
      <c r="B27" s="194"/>
      <c r="C27" s="192" t="s">
        <v>31</v>
      </c>
      <c r="D27" s="369">
        <f>D28+D31+D29+D30+D33+D32</f>
        <v>6925696.96</v>
      </c>
      <c r="E27" s="369">
        <f t="shared" ref="E27:M27" si="10">E28+E31+E29+E30+E33+E32</f>
        <v>3518784.52</v>
      </c>
      <c r="F27" s="369">
        <f t="shared" si="10"/>
        <v>3324048.14</v>
      </c>
      <c r="G27" s="369">
        <f t="shared" si="10"/>
        <v>2073477.5599999998</v>
      </c>
      <c r="H27" s="369">
        <f t="shared" si="10"/>
        <v>1150344.07</v>
      </c>
      <c r="I27" s="366">
        <f t="shared" si="10"/>
        <v>0</v>
      </c>
      <c r="J27" s="369">
        <f t="shared" si="10"/>
        <v>100226.51000000001</v>
      </c>
      <c r="K27" s="366">
        <f t="shared" si="10"/>
        <v>0</v>
      </c>
      <c r="L27" s="366">
        <f t="shared" si="10"/>
        <v>0</v>
      </c>
      <c r="M27" s="369">
        <f t="shared" si="10"/>
        <v>194736.38</v>
      </c>
      <c r="N27" s="369">
        <f t="shared" ref="N27:O27" si="11">N28+N31+N29+N30+N33+N32</f>
        <v>194736.38</v>
      </c>
      <c r="O27" s="366">
        <f t="shared" si="11"/>
        <v>0</v>
      </c>
      <c r="P27" s="300">
        <f t="shared" si="2"/>
        <v>50.807659363715509</v>
      </c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</row>
    <row r="28" spans="1:35">
      <c r="A28" s="400" t="s">
        <v>12</v>
      </c>
      <c r="B28" s="186">
        <v>75011</v>
      </c>
      <c r="C28" s="182" t="s">
        <v>75</v>
      </c>
      <c r="D28" s="370">
        <v>105200</v>
      </c>
      <c r="E28" s="370">
        <v>57377</v>
      </c>
      <c r="F28" s="370">
        <f>E28</f>
        <v>57377</v>
      </c>
      <c r="G28" s="370">
        <f>F28</f>
        <v>57377</v>
      </c>
      <c r="H28" s="367">
        <v>0</v>
      </c>
      <c r="I28" s="367">
        <v>0</v>
      </c>
      <c r="J28" s="367">
        <v>0</v>
      </c>
      <c r="K28" s="367">
        <v>0</v>
      </c>
      <c r="L28" s="367">
        <v>0</v>
      </c>
      <c r="M28" s="367">
        <v>0</v>
      </c>
      <c r="N28" s="367">
        <v>0</v>
      </c>
      <c r="O28" s="367">
        <v>0</v>
      </c>
      <c r="P28" s="300">
        <f t="shared" si="2"/>
        <v>54.54087452471483</v>
      </c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</row>
    <row r="29" spans="1:35">
      <c r="A29" s="400"/>
      <c r="B29" s="186">
        <v>75019</v>
      </c>
      <c r="C29" s="182" t="s">
        <v>105</v>
      </c>
      <c r="D29" s="370">
        <v>219598.61</v>
      </c>
      <c r="E29" s="370">
        <v>104481.5</v>
      </c>
      <c r="F29" s="370">
        <f>E29</f>
        <v>104481.5</v>
      </c>
      <c r="G29" s="367">
        <v>0</v>
      </c>
      <c r="H29" s="370">
        <v>7435.31</v>
      </c>
      <c r="I29" s="367">
        <v>0</v>
      </c>
      <c r="J29" s="370">
        <v>97046.19</v>
      </c>
      <c r="K29" s="367">
        <v>0</v>
      </c>
      <c r="L29" s="367">
        <v>0</v>
      </c>
      <c r="M29" s="367">
        <v>0</v>
      </c>
      <c r="N29" s="367">
        <v>0</v>
      </c>
      <c r="O29" s="367">
        <v>0</v>
      </c>
      <c r="P29" s="300">
        <f t="shared" si="2"/>
        <v>47.578397695686689</v>
      </c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</row>
    <row r="30" spans="1:35">
      <c r="A30" s="400"/>
      <c r="B30" s="234">
        <v>75020</v>
      </c>
      <c r="C30" s="235" t="s">
        <v>76</v>
      </c>
      <c r="D30" s="370">
        <v>6064097.0499999998</v>
      </c>
      <c r="E30" s="370">
        <v>3050206.28</v>
      </c>
      <c r="F30" s="370">
        <f>E30-M30</f>
        <v>2855469.9</v>
      </c>
      <c r="G30" s="373">
        <f>1469478.27+204881.88+251161.63+33208.1+37111.95</f>
        <v>1995841.8299999998</v>
      </c>
      <c r="H30" s="370">
        <f>F30-G30-J30</f>
        <v>856447.75000000012</v>
      </c>
      <c r="I30" s="367">
        <v>0</v>
      </c>
      <c r="J30" s="370">
        <v>3180.32</v>
      </c>
      <c r="K30" s="367">
        <v>0</v>
      </c>
      <c r="L30" s="367">
        <v>0</v>
      </c>
      <c r="M30" s="370">
        <v>194736.38</v>
      </c>
      <c r="N30" s="370">
        <v>194736.38</v>
      </c>
      <c r="O30" s="367">
        <v>0</v>
      </c>
      <c r="P30" s="300">
        <f t="shared" si="2"/>
        <v>50.299430481575158</v>
      </c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</row>
    <row r="31" spans="1:35">
      <c r="A31" s="400"/>
      <c r="B31" s="186">
        <v>75045</v>
      </c>
      <c r="C31" s="182" t="s">
        <v>303</v>
      </c>
      <c r="D31" s="370">
        <v>20500</v>
      </c>
      <c r="E31" s="370">
        <v>18805.66</v>
      </c>
      <c r="F31" s="370">
        <f>E31</f>
        <v>18805.66</v>
      </c>
      <c r="G31" s="373">
        <f>483.06+51.96+14090</f>
        <v>14625.02</v>
      </c>
      <c r="H31" s="370">
        <f>F31-G31</f>
        <v>4180.6399999999994</v>
      </c>
      <c r="I31" s="367">
        <v>0</v>
      </c>
      <c r="J31" s="367">
        <v>0</v>
      </c>
      <c r="K31" s="367">
        <v>0</v>
      </c>
      <c r="L31" s="367">
        <v>0</v>
      </c>
      <c r="M31" s="367">
        <v>0</v>
      </c>
      <c r="N31" s="367">
        <v>0</v>
      </c>
      <c r="O31" s="367">
        <v>0</v>
      </c>
      <c r="P31" s="300">
        <f t="shared" si="2"/>
        <v>91.734926829268289</v>
      </c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</row>
    <row r="32" spans="1:35" ht="12.75" customHeight="1">
      <c r="A32" s="400"/>
      <c r="B32" s="186">
        <v>75075</v>
      </c>
      <c r="C32" s="182" t="s">
        <v>142</v>
      </c>
      <c r="D32" s="370">
        <v>210000</v>
      </c>
      <c r="E32" s="370">
        <v>81724.62</v>
      </c>
      <c r="F32" s="370">
        <f>E32</f>
        <v>81724.62</v>
      </c>
      <c r="G32" s="370">
        <f>240+38.71+5355</f>
        <v>5633.71</v>
      </c>
      <c r="H32" s="370">
        <f>F32-G32</f>
        <v>76090.909999999989</v>
      </c>
      <c r="I32" s="367">
        <v>0</v>
      </c>
      <c r="J32" s="367">
        <v>0</v>
      </c>
      <c r="K32" s="367">
        <v>0</v>
      </c>
      <c r="L32" s="367">
        <v>0</v>
      </c>
      <c r="M32" s="367">
        <v>0</v>
      </c>
      <c r="N32" s="367">
        <v>0</v>
      </c>
      <c r="O32" s="367">
        <v>0</v>
      </c>
      <c r="P32" s="300">
        <f t="shared" si="2"/>
        <v>38.916485714285713</v>
      </c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</row>
    <row r="33" spans="1:35">
      <c r="A33" s="400"/>
      <c r="B33" s="186">
        <v>75095</v>
      </c>
      <c r="C33" s="182" t="s">
        <v>74</v>
      </c>
      <c r="D33" s="370">
        <v>306301.3</v>
      </c>
      <c r="E33" s="370">
        <v>206189.46</v>
      </c>
      <c r="F33" s="370">
        <f>E33</f>
        <v>206189.46</v>
      </c>
      <c r="G33" s="367">
        <v>0</v>
      </c>
      <c r="H33" s="370">
        <f>F33</f>
        <v>206189.46</v>
      </c>
      <c r="I33" s="367">
        <v>0</v>
      </c>
      <c r="J33" s="367">
        <v>0</v>
      </c>
      <c r="K33" s="367">
        <v>0</v>
      </c>
      <c r="L33" s="367">
        <v>0</v>
      </c>
      <c r="M33" s="367">
        <v>0</v>
      </c>
      <c r="N33" s="367">
        <v>0</v>
      </c>
      <c r="O33" s="367">
        <v>0</v>
      </c>
      <c r="P33" s="300">
        <f t="shared" si="2"/>
        <v>67.315894513017085</v>
      </c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</row>
    <row r="34" spans="1:35" s="4" customFormat="1" ht="24" customHeight="1">
      <c r="A34" s="194">
        <v>754</v>
      </c>
      <c r="B34" s="194"/>
      <c r="C34" s="192" t="s">
        <v>32</v>
      </c>
      <c r="D34" s="369">
        <f>D37+D38+D36+D35</f>
        <v>3227900</v>
      </c>
      <c r="E34" s="369">
        <f t="shared" ref="E34:M34" si="12">E37+E38+E36+E35</f>
        <v>1475794.7</v>
      </c>
      <c r="F34" s="369">
        <f t="shared" si="12"/>
        <v>1475794.7</v>
      </c>
      <c r="G34" s="369">
        <f t="shared" si="12"/>
        <v>1196059.1299999999</v>
      </c>
      <c r="H34" s="369">
        <f t="shared" si="12"/>
        <v>215564.38000000015</v>
      </c>
      <c r="I34" s="369">
        <f t="shared" si="12"/>
        <v>20000</v>
      </c>
      <c r="J34" s="369">
        <f t="shared" si="12"/>
        <v>44171.19</v>
      </c>
      <c r="K34" s="366">
        <f t="shared" si="12"/>
        <v>0</v>
      </c>
      <c r="L34" s="366">
        <f t="shared" si="12"/>
        <v>0</v>
      </c>
      <c r="M34" s="366">
        <f t="shared" si="12"/>
        <v>0</v>
      </c>
      <c r="N34" s="366">
        <f t="shared" ref="N34:O34" si="13">N37+N38+N36+N35</f>
        <v>0</v>
      </c>
      <c r="O34" s="366">
        <f t="shared" si="13"/>
        <v>0</v>
      </c>
      <c r="P34" s="300">
        <f t="shared" si="2"/>
        <v>45.719963443725021</v>
      </c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</row>
    <row r="35" spans="1:35" s="5" customFormat="1" ht="12" customHeight="1">
      <c r="A35" s="317"/>
      <c r="B35" s="317">
        <v>75405</v>
      </c>
      <c r="C35" s="182" t="s">
        <v>324</v>
      </c>
      <c r="D35" s="370">
        <v>15000</v>
      </c>
      <c r="E35" s="370">
        <v>15000</v>
      </c>
      <c r="F35" s="370">
        <v>15000</v>
      </c>
      <c r="G35" s="367">
        <v>0</v>
      </c>
      <c r="H35" s="367">
        <v>0</v>
      </c>
      <c r="I35" s="370">
        <v>15000</v>
      </c>
      <c r="J35" s="367">
        <v>0</v>
      </c>
      <c r="K35" s="367">
        <v>0</v>
      </c>
      <c r="L35" s="367">
        <v>0</v>
      </c>
      <c r="M35" s="367">
        <v>0</v>
      </c>
      <c r="N35" s="367">
        <v>0</v>
      </c>
      <c r="O35" s="367">
        <v>0</v>
      </c>
      <c r="P35" s="300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</row>
    <row r="36" spans="1:35" s="4" customFormat="1">
      <c r="A36" s="448"/>
      <c r="B36" s="196">
        <v>75406</v>
      </c>
      <c r="C36" s="193" t="s">
        <v>204</v>
      </c>
      <c r="D36" s="370">
        <v>5000</v>
      </c>
      <c r="E36" s="370">
        <v>5000</v>
      </c>
      <c r="F36" s="370">
        <v>5000</v>
      </c>
      <c r="G36" s="367">
        <v>0</v>
      </c>
      <c r="H36" s="367">
        <v>0</v>
      </c>
      <c r="I36" s="370">
        <f>F36</f>
        <v>5000</v>
      </c>
      <c r="J36" s="367">
        <v>0</v>
      </c>
      <c r="K36" s="367">
        <v>0</v>
      </c>
      <c r="L36" s="367">
        <v>0</v>
      </c>
      <c r="M36" s="367">
        <v>0</v>
      </c>
      <c r="N36" s="367">
        <v>0</v>
      </c>
      <c r="O36" s="367">
        <v>0</v>
      </c>
      <c r="P36" s="300">
        <f t="shared" si="2"/>
        <v>100</v>
      </c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</row>
    <row r="37" spans="1:35">
      <c r="A37" s="448"/>
      <c r="B37" s="186">
        <v>75411</v>
      </c>
      <c r="C37" s="182" t="s">
        <v>108</v>
      </c>
      <c r="D37" s="370">
        <v>3079000</v>
      </c>
      <c r="E37" s="370">
        <v>1452547.53</v>
      </c>
      <c r="F37" s="370">
        <f>E37</f>
        <v>1452547.53</v>
      </c>
      <c r="G37" s="370">
        <f>33574.7+5524.7+947870.02+54404.72+147498.55+6228.51+957.93</f>
        <v>1196059.1299999999</v>
      </c>
      <c r="H37" s="370">
        <f>F37-G37-J37</f>
        <v>212317.21000000014</v>
      </c>
      <c r="I37" s="367">
        <v>0</v>
      </c>
      <c r="J37" s="370">
        <v>44171.19</v>
      </c>
      <c r="K37" s="367">
        <v>0</v>
      </c>
      <c r="L37" s="367">
        <v>0</v>
      </c>
      <c r="M37" s="367">
        <v>0</v>
      </c>
      <c r="N37" s="367">
        <v>0</v>
      </c>
      <c r="O37" s="367">
        <v>0</v>
      </c>
      <c r="P37" s="300">
        <f t="shared" si="2"/>
        <v>47.175950958103279</v>
      </c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</row>
    <row r="38" spans="1:35">
      <c r="A38" s="448"/>
      <c r="B38" s="186">
        <v>75421</v>
      </c>
      <c r="C38" s="182" t="s">
        <v>167</v>
      </c>
      <c r="D38" s="370">
        <v>128900</v>
      </c>
      <c r="E38" s="370">
        <v>3247.17</v>
      </c>
      <c r="F38" s="370">
        <f>E38-M38</f>
        <v>3247.17</v>
      </c>
      <c r="G38" s="367">
        <v>0</v>
      </c>
      <c r="H38" s="370">
        <f>F38</f>
        <v>3247.17</v>
      </c>
      <c r="I38" s="367">
        <v>0</v>
      </c>
      <c r="J38" s="367">
        <v>0</v>
      </c>
      <c r="K38" s="367">
        <v>0</v>
      </c>
      <c r="L38" s="367">
        <v>0</v>
      </c>
      <c r="M38" s="367">
        <v>0</v>
      </c>
      <c r="N38" s="367">
        <v>0</v>
      </c>
      <c r="O38" s="367">
        <v>0</v>
      </c>
      <c r="P38" s="300">
        <f t="shared" si="2"/>
        <v>2.5191388673390223</v>
      </c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</row>
    <row r="39" spans="1:35" s="4" customFormat="1">
      <c r="A39" s="194">
        <v>757</v>
      </c>
      <c r="B39" s="194"/>
      <c r="C39" s="192" t="s">
        <v>109</v>
      </c>
      <c r="D39" s="369">
        <f>D40</f>
        <v>1133000</v>
      </c>
      <c r="E39" s="369">
        <f>E40</f>
        <v>412640.77</v>
      </c>
      <c r="F39" s="369">
        <f>F40</f>
        <v>412640.77</v>
      </c>
      <c r="G39" s="366">
        <v>0</v>
      </c>
      <c r="H39" s="366">
        <v>0</v>
      </c>
      <c r="I39" s="366">
        <v>0</v>
      </c>
      <c r="J39" s="366">
        <v>0</v>
      </c>
      <c r="K39" s="366">
        <v>0</v>
      </c>
      <c r="L39" s="369">
        <f>L40</f>
        <v>412640.77</v>
      </c>
      <c r="M39" s="367">
        <v>0</v>
      </c>
      <c r="N39" s="367">
        <v>0</v>
      </c>
      <c r="O39" s="367">
        <v>0</v>
      </c>
      <c r="P39" s="300">
        <f t="shared" si="2"/>
        <v>36.42019152691968</v>
      </c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</row>
    <row r="40" spans="1:35" ht="23.25" customHeight="1">
      <c r="A40" s="186"/>
      <c r="B40" s="186">
        <v>75702</v>
      </c>
      <c r="C40" s="182" t="s">
        <v>146</v>
      </c>
      <c r="D40" s="370">
        <v>1133000</v>
      </c>
      <c r="E40" s="370">
        <v>412640.77</v>
      </c>
      <c r="F40" s="370">
        <f>E40</f>
        <v>412640.77</v>
      </c>
      <c r="G40" s="367">
        <v>0</v>
      </c>
      <c r="H40" s="367">
        <v>0</v>
      </c>
      <c r="I40" s="367">
        <v>0</v>
      </c>
      <c r="J40" s="367">
        <v>0</v>
      </c>
      <c r="K40" s="367">
        <v>0</v>
      </c>
      <c r="L40" s="370">
        <f>F40</f>
        <v>412640.77</v>
      </c>
      <c r="M40" s="367">
        <v>0</v>
      </c>
      <c r="N40" s="367">
        <v>0</v>
      </c>
      <c r="O40" s="367">
        <v>0</v>
      </c>
      <c r="P40" s="300">
        <f t="shared" si="2"/>
        <v>36.42019152691968</v>
      </c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</row>
    <row r="41" spans="1:35" s="41" customFormat="1" ht="12" customHeight="1">
      <c r="A41" s="320">
        <v>758</v>
      </c>
      <c r="B41" s="320"/>
      <c r="C41" s="192" t="s">
        <v>33</v>
      </c>
      <c r="D41" s="369">
        <f>D42</f>
        <v>11957.14</v>
      </c>
      <c r="E41" s="366">
        <v>0</v>
      </c>
      <c r="F41" s="366">
        <f>F42</f>
        <v>0</v>
      </c>
      <c r="G41" s="366">
        <f t="shared" ref="G41:O41" si="14">G42</f>
        <v>0</v>
      </c>
      <c r="H41" s="366">
        <f t="shared" si="14"/>
        <v>0</v>
      </c>
      <c r="I41" s="366">
        <f t="shared" si="14"/>
        <v>0</v>
      </c>
      <c r="J41" s="366">
        <f t="shared" si="14"/>
        <v>0</v>
      </c>
      <c r="K41" s="366">
        <f t="shared" si="14"/>
        <v>0</v>
      </c>
      <c r="L41" s="366">
        <f t="shared" si="14"/>
        <v>0</v>
      </c>
      <c r="M41" s="366">
        <f t="shared" si="14"/>
        <v>0</v>
      </c>
      <c r="N41" s="366">
        <f t="shared" si="14"/>
        <v>0</v>
      </c>
      <c r="O41" s="366">
        <f t="shared" si="14"/>
        <v>0</v>
      </c>
      <c r="P41" s="336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ht="12.75" customHeight="1">
      <c r="A42" s="317"/>
      <c r="B42" s="317">
        <v>75818</v>
      </c>
      <c r="C42" s="182" t="s">
        <v>323</v>
      </c>
      <c r="D42" s="370">
        <v>11957.14</v>
      </c>
      <c r="E42" s="367">
        <v>0</v>
      </c>
      <c r="F42" s="367">
        <v>0</v>
      </c>
      <c r="G42" s="367">
        <v>0</v>
      </c>
      <c r="H42" s="367">
        <v>0</v>
      </c>
      <c r="I42" s="367">
        <v>0</v>
      </c>
      <c r="J42" s="367">
        <v>0</v>
      </c>
      <c r="K42" s="367">
        <v>0</v>
      </c>
      <c r="L42" s="367">
        <v>0</v>
      </c>
      <c r="M42" s="367">
        <v>0</v>
      </c>
      <c r="N42" s="367">
        <v>0</v>
      </c>
      <c r="O42" s="367">
        <v>0</v>
      </c>
      <c r="P42" s="300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</row>
    <row r="43" spans="1:35" s="4" customFormat="1">
      <c r="A43" s="194">
        <v>801</v>
      </c>
      <c r="B43" s="194"/>
      <c r="C43" s="192" t="s">
        <v>54</v>
      </c>
      <c r="D43" s="369">
        <f>SUM(D44:D53)</f>
        <v>16482861.869999999</v>
      </c>
      <c r="E43" s="369">
        <f t="shared" ref="E43:M43" si="15">SUM(E44:E53)</f>
        <v>8066808.2299999995</v>
      </c>
      <c r="F43" s="369">
        <f t="shared" si="15"/>
        <v>7433580.4400000004</v>
      </c>
      <c r="G43" s="369">
        <f t="shared" si="15"/>
        <v>5157505.9800000004</v>
      </c>
      <c r="H43" s="369">
        <f t="shared" si="15"/>
        <v>1438471.2400000002</v>
      </c>
      <c r="I43" s="369">
        <f t="shared" si="15"/>
        <v>750645.79999999993</v>
      </c>
      <c r="J43" s="369">
        <f t="shared" si="15"/>
        <v>86957.42</v>
      </c>
      <c r="K43" s="366">
        <f t="shared" si="15"/>
        <v>0</v>
      </c>
      <c r="L43" s="366">
        <f t="shared" si="15"/>
        <v>0</v>
      </c>
      <c r="M43" s="369">
        <f t="shared" si="15"/>
        <v>633227.79</v>
      </c>
      <c r="N43" s="369">
        <f t="shared" ref="N43:O43" si="16">SUM(N44:N53)</f>
        <v>633227.79</v>
      </c>
      <c r="O43" s="369">
        <f t="shared" si="16"/>
        <v>286155.60000000003</v>
      </c>
      <c r="P43" s="300">
        <f t="shared" si="2"/>
        <v>48.940580183361085</v>
      </c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</row>
    <row r="44" spans="1:35">
      <c r="A44" s="401"/>
      <c r="B44" s="186">
        <v>80102</v>
      </c>
      <c r="C44" s="182" t="s">
        <v>41</v>
      </c>
      <c r="D44" s="370">
        <v>1392844.86</v>
      </c>
      <c r="E44" s="370">
        <v>661273.15</v>
      </c>
      <c r="F44" s="370">
        <f>E44</f>
        <v>661273.15</v>
      </c>
      <c r="G44" s="373">
        <f>384789.84+49601+67949.48+9641.76</f>
        <v>511982.08000000002</v>
      </c>
      <c r="H44" s="370">
        <f>F44-G44-J44</f>
        <v>147825.07</v>
      </c>
      <c r="I44" s="367">
        <v>0</v>
      </c>
      <c r="J44" s="370">
        <v>1466</v>
      </c>
      <c r="K44" s="367">
        <v>0</v>
      </c>
      <c r="L44" s="367">
        <v>0</v>
      </c>
      <c r="M44" s="367">
        <v>0</v>
      </c>
      <c r="N44" s="367">
        <v>0</v>
      </c>
      <c r="O44" s="367">
        <v>0</v>
      </c>
      <c r="P44" s="300">
        <f t="shared" si="2"/>
        <v>47.476439694798458</v>
      </c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</row>
    <row r="45" spans="1:35">
      <c r="A45" s="402"/>
      <c r="B45" s="186">
        <v>80111</v>
      </c>
      <c r="C45" s="182" t="s">
        <v>111</v>
      </c>
      <c r="D45" s="370">
        <v>1681143.25</v>
      </c>
      <c r="E45" s="370">
        <v>1001350.9</v>
      </c>
      <c r="F45" s="370">
        <f>E45-M45</f>
        <v>654903.02</v>
      </c>
      <c r="G45" s="373">
        <f>434956.38+63827+80672.22+12482.76</f>
        <v>591938.36</v>
      </c>
      <c r="H45" s="370">
        <f>F45-G45-J45</f>
        <v>45766.060000000034</v>
      </c>
      <c r="I45" s="367">
        <v>0</v>
      </c>
      <c r="J45" s="370">
        <v>17198.599999999999</v>
      </c>
      <c r="K45" s="367">
        <v>0</v>
      </c>
      <c r="L45" s="367">
        <v>0</v>
      </c>
      <c r="M45" s="370">
        <f>74946.95+162900.56+108600.37</f>
        <v>346447.88</v>
      </c>
      <c r="N45" s="370">
        <f>74946.95+162900.56+108600.37</f>
        <v>346447.88</v>
      </c>
      <c r="O45" s="370">
        <f>162900.56+108600.37</f>
        <v>271500.93</v>
      </c>
      <c r="P45" s="300">
        <f t="shared" si="2"/>
        <v>59.563686794685701</v>
      </c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</row>
    <row r="46" spans="1:35">
      <c r="A46" s="402"/>
      <c r="B46" s="186">
        <v>80120</v>
      </c>
      <c r="C46" s="182" t="s">
        <v>47</v>
      </c>
      <c r="D46" s="370">
        <v>5645044.46</v>
      </c>
      <c r="E46" s="370">
        <v>2708142.99</v>
      </c>
      <c r="F46" s="370">
        <f>E46-M46</f>
        <v>2641612.7300000004</v>
      </c>
      <c r="G46" s="370">
        <f>1242868.58+203142+200120.36+29448.93+8294.19</f>
        <v>1683874.0599999998</v>
      </c>
      <c r="H46" s="370">
        <f>F46-G46-I46-J46</f>
        <v>508667.80000000063</v>
      </c>
      <c r="I46" s="370">
        <v>407687.76</v>
      </c>
      <c r="J46" s="370">
        <v>41383.11</v>
      </c>
      <c r="K46" s="367">
        <v>0</v>
      </c>
      <c r="L46" s="367">
        <v>0</v>
      </c>
      <c r="M46" s="370">
        <f>62260.37+120+4149.89</f>
        <v>66530.260000000009</v>
      </c>
      <c r="N46" s="370">
        <f>62260.37+120+4149.89</f>
        <v>66530.260000000009</v>
      </c>
      <c r="O46" s="370">
        <f>120+4149.89</f>
        <v>4269.8900000000003</v>
      </c>
      <c r="P46" s="300">
        <f t="shared" si="2"/>
        <v>47.973811529555256</v>
      </c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</row>
    <row r="47" spans="1:35">
      <c r="A47" s="402"/>
      <c r="B47" s="186">
        <v>80123</v>
      </c>
      <c r="C47" s="182" t="s">
        <v>42</v>
      </c>
      <c r="D47" s="373">
        <v>224300</v>
      </c>
      <c r="E47" s="373">
        <v>100055.32</v>
      </c>
      <c r="F47" s="373">
        <f>E47</f>
        <v>100055.32</v>
      </c>
      <c r="G47" s="367">
        <v>0</v>
      </c>
      <c r="H47" s="367">
        <v>0</v>
      </c>
      <c r="I47" s="370">
        <v>100055.32</v>
      </c>
      <c r="J47" s="367">
        <v>0</v>
      </c>
      <c r="K47" s="367">
        <v>0</v>
      </c>
      <c r="L47" s="367">
        <v>0</v>
      </c>
      <c r="M47" s="367">
        <v>0</v>
      </c>
      <c r="N47" s="367">
        <v>0</v>
      </c>
      <c r="O47" s="367">
        <v>0</v>
      </c>
      <c r="P47" s="300">
        <f t="shared" si="2"/>
        <v>44.607810967454306</v>
      </c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</row>
    <row r="48" spans="1:35">
      <c r="A48" s="402"/>
      <c r="B48" s="186">
        <v>80130</v>
      </c>
      <c r="C48" s="182" t="s">
        <v>43</v>
      </c>
      <c r="D48" s="373">
        <v>6514389.0800000001</v>
      </c>
      <c r="E48" s="373">
        <v>3205597.82</v>
      </c>
      <c r="F48" s="373">
        <f>E48-M48</f>
        <v>2985348.17</v>
      </c>
      <c r="G48" s="373">
        <f>1686772+243770.99+286704.44+38965.31+2901.6</f>
        <v>2259114.3400000003</v>
      </c>
      <c r="H48" s="370">
        <f>F48-G48-I48-J48</f>
        <v>545654.99999999965</v>
      </c>
      <c r="I48" s="370">
        <v>159151.62</v>
      </c>
      <c r="J48" s="370">
        <f>19879.21+1548</f>
        <v>21427.21</v>
      </c>
      <c r="K48" s="367">
        <v>0</v>
      </c>
      <c r="L48" s="367">
        <v>0</v>
      </c>
      <c r="M48" s="370">
        <f>209864.87+1162.5+9222.28</f>
        <v>220249.65</v>
      </c>
      <c r="N48" s="370">
        <f>209864.87+1162.5+9222.28</f>
        <v>220249.65</v>
      </c>
      <c r="O48" s="370">
        <f>1162.5+9222.28</f>
        <v>10384.780000000001</v>
      </c>
      <c r="P48" s="300">
        <f t="shared" si="2"/>
        <v>49.207957655485934</v>
      </c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</row>
    <row r="49" spans="1:35">
      <c r="A49" s="402"/>
      <c r="B49" s="186">
        <v>80140</v>
      </c>
      <c r="C49" s="182" t="s">
        <v>172</v>
      </c>
      <c r="D49" s="373">
        <v>218354</v>
      </c>
      <c r="E49" s="373">
        <v>125696.22</v>
      </c>
      <c r="F49" s="373">
        <f>E49</f>
        <v>125696.22</v>
      </c>
      <c r="G49" s="373">
        <f>23727.69+2848.63+5943.78+958.67+13265.64</f>
        <v>46744.409999999996</v>
      </c>
      <c r="H49" s="370">
        <f>F49-G49-J49</f>
        <v>78869.31</v>
      </c>
      <c r="I49" s="367">
        <v>0</v>
      </c>
      <c r="J49" s="370">
        <v>82.5</v>
      </c>
      <c r="K49" s="367">
        <v>0</v>
      </c>
      <c r="L49" s="367">
        <v>0</v>
      </c>
      <c r="M49" s="367">
        <v>0</v>
      </c>
      <c r="N49" s="367">
        <v>0</v>
      </c>
      <c r="O49" s="367">
        <v>0</v>
      </c>
      <c r="P49" s="300">
        <f t="shared" si="2"/>
        <v>57.565338853421508</v>
      </c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</row>
    <row r="50" spans="1:35">
      <c r="A50" s="402"/>
      <c r="B50" s="186">
        <v>80144</v>
      </c>
      <c r="C50" s="182" t="s">
        <v>205</v>
      </c>
      <c r="D50" s="373">
        <v>305220</v>
      </c>
      <c r="E50" s="373">
        <v>83751.100000000006</v>
      </c>
      <c r="F50" s="373">
        <f>E50</f>
        <v>83751.100000000006</v>
      </c>
      <c r="G50" s="367">
        <v>0</v>
      </c>
      <c r="H50" s="367">
        <v>0</v>
      </c>
      <c r="I50" s="370">
        <f>F50</f>
        <v>83751.100000000006</v>
      </c>
      <c r="J50" s="367">
        <v>0</v>
      </c>
      <c r="K50" s="367">
        <v>0</v>
      </c>
      <c r="L50" s="367">
        <v>0</v>
      </c>
      <c r="M50" s="367">
        <v>0</v>
      </c>
      <c r="N50" s="367">
        <v>0</v>
      </c>
      <c r="O50" s="367">
        <v>0</v>
      </c>
      <c r="P50" s="300">
        <f t="shared" si="2"/>
        <v>27.439584561955311</v>
      </c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</row>
    <row r="51" spans="1:35" ht="12.75" customHeight="1">
      <c r="A51" s="402"/>
      <c r="B51" s="186">
        <v>80146</v>
      </c>
      <c r="C51" s="182" t="s">
        <v>84</v>
      </c>
      <c r="D51" s="370">
        <v>66202.02</v>
      </c>
      <c r="E51" s="370">
        <v>19845</v>
      </c>
      <c r="F51" s="370">
        <f>E51</f>
        <v>19845</v>
      </c>
      <c r="G51" s="367">
        <v>0</v>
      </c>
      <c r="H51" s="370">
        <f>F51-J51</f>
        <v>14445</v>
      </c>
      <c r="I51" s="367">
        <v>0</v>
      </c>
      <c r="J51" s="370">
        <v>5400</v>
      </c>
      <c r="K51" s="367">
        <v>0</v>
      </c>
      <c r="L51" s="367">
        <v>0</v>
      </c>
      <c r="M51" s="367">
        <v>0</v>
      </c>
      <c r="N51" s="367">
        <v>0</v>
      </c>
      <c r="O51" s="367">
        <v>0</v>
      </c>
      <c r="P51" s="300">
        <f t="shared" si="2"/>
        <v>29.976426701179211</v>
      </c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</row>
    <row r="52" spans="1:35" ht="12.75" customHeight="1">
      <c r="A52" s="402"/>
      <c r="B52" s="186">
        <v>80148</v>
      </c>
      <c r="C52" s="182" t="s">
        <v>173</v>
      </c>
      <c r="D52" s="370">
        <v>252408</v>
      </c>
      <c r="E52" s="370">
        <v>161095.73000000001</v>
      </c>
      <c r="F52" s="370">
        <f>E52</f>
        <v>161095.73000000001</v>
      </c>
      <c r="G52" s="370">
        <f>48049.11+6894+8038.68+870.94</f>
        <v>63852.73</v>
      </c>
      <c r="H52" s="370">
        <f>F52-G52</f>
        <v>97243</v>
      </c>
      <c r="I52" s="367">
        <v>0</v>
      </c>
      <c r="J52" s="367">
        <v>0</v>
      </c>
      <c r="K52" s="367">
        <v>0</v>
      </c>
      <c r="L52" s="367">
        <v>0</v>
      </c>
      <c r="M52" s="367">
        <v>0</v>
      </c>
      <c r="N52" s="367">
        <v>0</v>
      </c>
      <c r="O52" s="367">
        <v>0</v>
      </c>
      <c r="P52" s="300">
        <f t="shared" si="2"/>
        <v>63.823543627777255</v>
      </c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</row>
    <row r="53" spans="1:35" ht="12.75" customHeight="1">
      <c r="A53" s="403"/>
      <c r="B53" s="186">
        <v>80195</v>
      </c>
      <c r="C53" s="182" t="s">
        <v>74</v>
      </c>
      <c r="D53" s="370">
        <v>182956.2</v>
      </c>
      <c r="E53" s="367">
        <v>0</v>
      </c>
      <c r="F53" s="367">
        <v>0</v>
      </c>
      <c r="G53" s="367">
        <v>0</v>
      </c>
      <c r="H53" s="367">
        <v>0</v>
      </c>
      <c r="I53" s="367">
        <v>0</v>
      </c>
      <c r="J53" s="367">
        <v>0</v>
      </c>
      <c r="K53" s="367">
        <v>0</v>
      </c>
      <c r="L53" s="367">
        <v>0</v>
      </c>
      <c r="M53" s="367">
        <v>0</v>
      </c>
      <c r="N53" s="367">
        <v>0</v>
      </c>
      <c r="O53" s="367">
        <v>0</v>
      </c>
      <c r="P53" s="300">
        <f t="shared" si="2"/>
        <v>0</v>
      </c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</row>
    <row r="54" spans="1:35" s="4" customFormat="1" ht="13.5" customHeight="1">
      <c r="A54" s="194">
        <v>851</v>
      </c>
      <c r="B54" s="194"/>
      <c r="C54" s="192" t="s">
        <v>34</v>
      </c>
      <c r="D54" s="369">
        <f>D55+D58+D56+D57</f>
        <v>9814425.370000001</v>
      </c>
      <c r="E54" s="369">
        <f t="shared" ref="E54:M54" si="17">E55+E58+E56+E57</f>
        <v>1328506.2300000002</v>
      </c>
      <c r="F54" s="369">
        <f t="shared" si="17"/>
        <v>1248842.4300000002</v>
      </c>
      <c r="G54" s="366">
        <f t="shared" si="17"/>
        <v>0</v>
      </c>
      <c r="H54" s="369">
        <f t="shared" si="17"/>
        <v>1248842.4300000002</v>
      </c>
      <c r="I54" s="366">
        <f t="shared" si="17"/>
        <v>0</v>
      </c>
      <c r="J54" s="366">
        <f t="shared" si="17"/>
        <v>0</v>
      </c>
      <c r="K54" s="366">
        <f t="shared" si="17"/>
        <v>0</v>
      </c>
      <c r="L54" s="366">
        <f t="shared" si="17"/>
        <v>0</v>
      </c>
      <c r="M54" s="369">
        <f t="shared" si="17"/>
        <v>79663.8</v>
      </c>
      <c r="N54" s="369">
        <f t="shared" ref="N54:O54" si="18">N55+N58+N56+N57</f>
        <v>79663.8</v>
      </c>
      <c r="O54" s="366">
        <f t="shared" si="18"/>
        <v>0</v>
      </c>
      <c r="P54" s="300">
        <f t="shared" si="2"/>
        <v>13.536260961959917</v>
      </c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</row>
    <row r="55" spans="1:35" s="4" customFormat="1" ht="13.5" customHeight="1">
      <c r="A55" s="449"/>
      <c r="B55" s="196">
        <v>85111</v>
      </c>
      <c r="C55" s="193" t="s">
        <v>85</v>
      </c>
      <c r="D55" s="370">
        <v>7878925.3700000001</v>
      </c>
      <c r="E55" s="370">
        <v>79663.8</v>
      </c>
      <c r="F55" s="367">
        <f>E55-M55</f>
        <v>0</v>
      </c>
      <c r="G55" s="367">
        <v>0</v>
      </c>
      <c r="H55" s="367">
        <v>0</v>
      </c>
      <c r="I55" s="367">
        <v>0</v>
      </c>
      <c r="J55" s="367">
        <v>0</v>
      </c>
      <c r="K55" s="367">
        <v>0</v>
      </c>
      <c r="L55" s="367">
        <v>0</v>
      </c>
      <c r="M55" s="370">
        <v>79663.8</v>
      </c>
      <c r="N55" s="370">
        <v>79663.8</v>
      </c>
      <c r="O55" s="367">
        <v>0</v>
      </c>
      <c r="P55" s="300">
        <f t="shared" si="2"/>
        <v>1.0110998170299967</v>
      </c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</row>
    <row r="56" spans="1:35" s="4" customFormat="1" ht="13.5" customHeight="1">
      <c r="A56" s="450"/>
      <c r="B56" s="196">
        <v>85132</v>
      </c>
      <c r="C56" s="193" t="s">
        <v>305</v>
      </c>
      <c r="D56" s="370">
        <v>4500</v>
      </c>
      <c r="E56" s="370">
        <v>1757.62</v>
      </c>
      <c r="F56" s="370">
        <f>E56</f>
        <v>1757.62</v>
      </c>
      <c r="G56" s="367">
        <v>0</v>
      </c>
      <c r="H56" s="370">
        <f>F56</f>
        <v>1757.62</v>
      </c>
      <c r="I56" s="367">
        <v>0</v>
      </c>
      <c r="J56" s="367">
        <v>0</v>
      </c>
      <c r="K56" s="367">
        <v>0</v>
      </c>
      <c r="L56" s="367">
        <v>0</v>
      </c>
      <c r="M56" s="367">
        <v>0</v>
      </c>
      <c r="N56" s="367">
        <v>0</v>
      </c>
      <c r="O56" s="367">
        <v>0</v>
      </c>
      <c r="P56" s="300">
        <f t="shared" si="2"/>
        <v>39.05822222222222</v>
      </c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</row>
    <row r="57" spans="1:35" s="4" customFormat="1" ht="13.5" customHeight="1">
      <c r="A57" s="450"/>
      <c r="B57" s="196">
        <v>85141</v>
      </c>
      <c r="C57" s="193" t="s">
        <v>322</v>
      </c>
      <c r="D57" s="370">
        <v>5000</v>
      </c>
      <c r="E57" s="367">
        <v>0</v>
      </c>
      <c r="F57" s="367">
        <v>0</v>
      </c>
      <c r="G57" s="367">
        <v>0</v>
      </c>
      <c r="H57" s="367">
        <v>0</v>
      </c>
      <c r="I57" s="367">
        <v>0</v>
      </c>
      <c r="J57" s="367">
        <v>0</v>
      </c>
      <c r="K57" s="367">
        <v>0</v>
      </c>
      <c r="L57" s="367">
        <v>0</v>
      </c>
      <c r="M57" s="367">
        <v>0</v>
      </c>
      <c r="N57" s="367">
        <v>0</v>
      </c>
      <c r="O57" s="367">
        <v>0</v>
      </c>
      <c r="P57" s="30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</row>
    <row r="58" spans="1:35" ht="33.75">
      <c r="A58" s="450"/>
      <c r="B58" s="186">
        <v>85156</v>
      </c>
      <c r="C58" s="364" t="s">
        <v>87</v>
      </c>
      <c r="D58" s="370">
        <v>1926000</v>
      </c>
      <c r="E58" s="370">
        <v>1247084.81</v>
      </c>
      <c r="F58" s="370">
        <f>E58</f>
        <v>1247084.81</v>
      </c>
      <c r="G58" s="367">
        <v>0</v>
      </c>
      <c r="H58" s="370">
        <f>F58</f>
        <v>1247084.81</v>
      </c>
      <c r="I58" s="367">
        <v>0</v>
      </c>
      <c r="J58" s="367">
        <v>0</v>
      </c>
      <c r="K58" s="367">
        <v>0</v>
      </c>
      <c r="L58" s="367">
        <v>0</v>
      </c>
      <c r="M58" s="367">
        <v>0</v>
      </c>
      <c r="N58" s="367">
        <v>0</v>
      </c>
      <c r="O58" s="367">
        <v>0</v>
      </c>
      <c r="P58" s="300">
        <f t="shared" si="2"/>
        <v>64.749990134994803</v>
      </c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</row>
    <row r="59" spans="1:35" s="4" customFormat="1">
      <c r="A59" s="194">
        <v>852</v>
      </c>
      <c r="B59" s="194"/>
      <c r="C59" s="192" t="s">
        <v>35</v>
      </c>
      <c r="D59" s="369">
        <f t="shared" ref="D59:O59" si="19">SUM(D60:D67)</f>
        <v>10334512.720000001</v>
      </c>
      <c r="E59" s="369">
        <f t="shared" si="19"/>
        <v>4613926.8499999996</v>
      </c>
      <c r="F59" s="369">
        <f t="shared" si="19"/>
        <v>4535736.8499999996</v>
      </c>
      <c r="G59" s="369">
        <f t="shared" si="19"/>
        <v>1375615.3699999999</v>
      </c>
      <c r="H59" s="369">
        <f t="shared" si="19"/>
        <v>488338.59000000026</v>
      </c>
      <c r="I59" s="369">
        <f t="shared" si="19"/>
        <v>1941428.9</v>
      </c>
      <c r="J59" s="369">
        <f t="shared" si="19"/>
        <v>730353.99000000011</v>
      </c>
      <c r="K59" s="366">
        <f t="shared" si="19"/>
        <v>0</v>
      </c>
      <c r="L59" s="366">
        <f t="shared" si="19"/>
        <v>0</v>
      </c>
      <c r="M59" s="369">
        <f t="shared" si="19"/>
        <v>78190</v>
      </c>
      <c r="N59" s="369">
        <f t="shared" si="19"/>
        <v>78190</v>
      </c>
      <c r="O59" s="366">
        <f t="shared" si="19"/>
        <v>0</v>
      </c>
      <c r="P59" s="300">
        <f t="shared" si="2"/>
        <v>44.645809386550347</v>
      </c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</row>
    <row r="60" spans="1:35" s="5" customFormat="1" ht="12.75" customHeight="1">
      <c r="A60" s="401"/>
      <c r="B60" s="186">
        <v>85201</v>
      </c>
      <c r="C60" s="182" t="s">
        <v>88</v>
      </c>
      <c r="D60" s="370">
        <v>5018764.88</v>
      </c>
      <c r="E60" s="370">
        <v>2125670.1800000002</v>
      </c>
      <c r="F60" s="370">
        <f>E60-M60</f>
        <v>2112140.1800000002</v>
      </c>
      <c r="G60" s="370">
        <f>505092.77+79624.36+92628.29+12889.37+10624.13</f>
        <v>700858.92</v>
      </c>
      <c r="H60" s="370">
        <f>F60-G60-I60-J60</f>
        <v>295133.02000000025</v>
      </c>
      <c r="I60" s="370">
        <f>89690.11+547086.83+392522.4</f>
        <v>1029299.34</v>
      </c>
      <c r="J60" s="370">
        <f>226.42+86622.48</f>
        <v>86848.9</v>
      </c>
      <c r="K60" s="367">
        <v>0</v>
      </c>
      <c r="L60" s="367">
        <v>0</v>
      </c>
      <c r="M60" s="370">
        <v>13530</v>
      </c>
      <c r="N60" s="370">
        <v>13530</v>
      </c>
      <c r="O60" s="367">
        <v>0</v>
      </c>
      <c r="P60" s="300">
        <f t="shared" si="2"/>
        <v>42.354448371767525</v>
      </c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</row>
    <row r="61" spans="1:35" s="5" customFormat="1">
      <c r="A61" s="402"/>
      <c r="B61" s="186">
        <v>85202</v>
      </c>
      <c r="C61" s="182" t="s">
        <v>89</v>
      </c>
      <c r="D61" s="370">
        <v>1811660</v>
      </c>
      <c r="E61" s="370">
        <v>890931</v>
      </c>
      <c r="F61" s="370">
        <f>E61-M61</f>
        <v>826271</v>
      </c>
      <c r="G61" s="367">
        <v>0</v>
      </c>
      <c r="H61" s="367">
        <v>0</v>
      </c>
      <c r="I61" s="370">
        <v>826271</v>
      </c>
      <c r="J61" s="367">
        <v>0</v>
      </c>
      <c r="K61" s="367">
        <v>0</v>
      </c>
      <c r="L61" s="367">
        <v>0</v>
      </c>
      <c r="M61" s="370">
        <v>64660</v>
      </c>
      <c r="N61" s="370">
        <v>64660</v>
      </c>
      <c r="O61" s="367">
        <v>0</v>
      </c>
      <c r="P61" s="300">
        <f t="shared" si="2"/>
        <v>49.17760506938388</v>
      </c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</row>
    <row r="62" spans="1:35">
      <c r="A62" s="402"/>
      <c r="B62" s="186">
        <v>85203</v>
      </c>
      <c r="C62" s="182" t="s">
        <v>90</v>
      </c>
      <c r="D62" s="370">
        <v>432000</v>
      </c>
      <c r="E62" s="370">
        <v>229062.03</v>
      </c>
      <c r="F62" s="373">
        <f t="shared" ref="F62:F67" si="20">E62</f>
        <v>229062.03</v>
      </c>
      <c r="G62" s="373">
        <f>138640.41+17391.41+24235.37+1720.86+2400</f>
        <v>184388.05</v>
      </c>
      <c r="H62" s="370">
        <f>F62-G62-J62</f>
        <v>44406.340000000011</v>
      </c>
      <c r="I62" s="367">
        <v>0</v>
      </c>
      <c r="J62" s="370">
        <v>267.64</v>
      </c>
      <c r="K62" s="367">
        <v>0</v>
      </c>
      <c r="L62" s="367">
        <v>0</v>
      </c>
      <c r="M62" s="367">
        <v>0</v>
      </c>
      <c r="N62" s="367">
        <v>0</v>
      </c>
      <c r="O62" s="367">
        <v>0</v>
      </c>
      <c r="P62" s="300">
        <f t="shared" si="2"/>
        <v>53.023618055555552</v>
      </c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>
      <c r="A63" s="402"/>
      <c r="B63" s="186">
        <v>85204</v>
      </c>
      <c r="C63" s="182" t="s">
        <v>113</v>
      </c>
      <c r="D63" s="370">
        <v>1946211.77</v>
      </c>
      <c r="E63" s="370">
        <v>843424.29</v>
      </c>
      <c r="F63" s="370">
        <f t="shared" si="20"/>
        <v>843424.29</v>
      </c>
      <c r="G63" s="373">
        <f>13728.54+2199.78+94587.6</f>
        <v>110515.92000000001</v>
      </c>
      <c r="H63" s="370">
        <v>3998.33</v>
      </c>
      <c r="I63" s="370">
        <v>85858.559999999998</v>
      </c>
      <c r="J63" s="370">
        <v>643051.48</v>
      </c>
      <c r="K63" s="367">
        <v>0</v>
      </c>
      <c r="L63" s="367">
        <v>0</v>
      </c>
      <c r="M63" s="367">
        <v>0</v>
      </c>
      <c r="N63" s="367">
        <v>0</v>
      </c>
      <c r="O63" s="367">
        <v>0</v>
      </c>
      <c r="P63" s="300">
        <f t="shared" si="2"/>
        <v>43.336717154885982</v>
      </c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</row>
    <row r="64" spans="1:35" ht="22.5">
      <c r="A64" s="402"/>
      <c r="B64" s="186">
        <v>85205</v>
      </c>
      <c r="C64" s="182" t="s">
        <v>219</v>
      </c>
      <c r="D64" s="370">
        <v>319500</v>
      </c>
      <c r="E64" s="370">
        <v>141479.17000000001</v>
      </c>
      <c r="F64" s="370">
        <f t="shared" si="20"/>
        <v>141479.17000000001</v>
      </c>
      <c r="G64" s="370">
        <f>70630.1+11827.12+12637.29+1955.07+13941</f>
        <v>110990.58000000002</v>
      </c>
      <c r="H64" s="370">
        <f>F64-G64-J64</f>
        <v>30440.289999999997</v>
      </c>
      <c r="I64" s="367">
        <v>0</v>
      </c>
      <c r="J64" s="370">
        <v>48.3</v>
      </c>
      <c r="K64" s="367">
        <v>0</v>
      </c>
      <c r="L64" s="367">
        <v>0</v>
      </c>
      <c r="M64" s="367">
        <v>0</v>
      </c>
      <c r="N64" s="367">
        <v>0</v>
      </c>
      <c r="O64" s="367">
        <v>0</v>
      </c>
      <c r="P64" s="300">
        <f t="shared" si="2"/>
        <v>44.28143035993741</v>
      </c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ht="12.75" customHeight="1">
      <c r="A65" s="402"/>
      <c r="B65" s="186">
        <v>85218</v>
      </c>
      <c r="C65" s="182" t="s">
        <v>92</v>
      </c>
      <c r="D65" s="370">
        <v>619733</v>
      </c>
      <c r="E65" s="370">
        <v>304911.42</v>
      </c>
      <c r="F65" s="370">
        <f t="shared" si="20"/>
        <v>304911.42</v>
      </c>
      <c r="G65" s="373">
        <f>149714.9+27189.35+25307.91+2071.35</f>
        <v>204283.51</v>
      </c>
      <c r="H65" s="370">
        <f>F65-G65-J65</f>
        <v>100490.23999999998</v>
      </c>
      <c r="I65" s="367">
        <v>0</v>
      </c>
      <c r="J65" s="370">
        <v>137.66999999999999</v>
      </c>
      <c r="K65" s="367">
        <v>0</v>
      </c>
      <c r="L65" s="367">
        <v>0</v>
      </c>
      <c r="M65" s="367">
        <v>0</v>
      </c>
      <c r="N65" s="367">
        <v>0</v>
      </c>
      <c r="O65" s="367">
        <v>0</v>
      </c>
      <c r="P65" s="300">
        <f t="shared" si="2"/>
        <v>49.200449225714941</v>
      </c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ht="12.75" customHeight="1">
      <c r="A66" s="402"/>
      <c r="B66" s="186">
        <v>85226</v>
      </c>
      <c r="C66" s="182" t="s">
        <v>201</v>
      </c>
      <c r="D66" s="370">
        <v>183179</v>
      </c>
      <c r="E66" s="370">
        <v>77248.759999999995</v>
      </c>
      <c r="F66" s="370">
        <f t="shared" si="20"/>
        <v>77248.759999999995</v>
      </c>
      <c r="G66" s="373">
        <f>47894.31+7227.17+8150.85+1306.06</f>
        <v>64578.389999999992</v>
      </c>
      <c r="H66" s="370">
        <f>F66-G66</f>
        <v>12670.370000000003</v>
      </c>
      <c r="I66" s="367">
        <v>0</v>
      </c>
      <c r="J66" s="367">
        <v>0</v>
      </c>
      <c r="K66" s="367">
        <v>0</v>
      </c>
      <c r="L66" s="367">
        <v>0</v>
      </c>
      <c r="M66" s="367">
        <v>0</v>
      </c>
      <c r="N66" s="367">
        <v>0</v>
      </c>
      <c r="O66" s="367">
        <v>0</v>
      </c>
      <c r="P66" s="300">
        <f t="shared" si="2"/>
        <v>42.171187745320147</v>
      </c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</row>
    <row r="67" spans="1:35" ht="12.75" customHeight="1">
      <c r="A67" s="402"/>
      <c r="B67" s="186">
        <v>85233</v>
      </c>
      <c r="C67" s="182" t="s">
        <v>84</v>
      </c>
      <c r="D67" s="370">
        <v>3464.07</v>
      </c>
      <c r="E67" s="370">
        <v>1200</v>
      </c>
      <c r="F67" s="370">
        <f t="shared" si="20"/>
        <v>1200</v>
      </c>
      <c r="G67" s="370"/>
      <c r="H67" s="370">
        <f>F67</f>
        <v>1200</v>
      </c>
      <c r="I67" s="367">
        <v>0</v>
      </c>
      <c r="J67" s="367">
        <v>0</v>
      </c>
      <c r="K67" s="367">
        <v>0</v>
      </c>
      <c r="L67" s="367">
        <v>0</v>
      </c>
      <c r="M67" s="367">
        <v>0</v>
      </c>
      <c r="N67" s="367">
        <v>0</v>
      </c>
      <c r="O67" s="367">
        <v>0</v>
      </c>
      <c r="P67" s="300">
        <f t="shared" si="2"/>
        <v>34.641332305640468</v>
      </c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</row>
    <row r="68" spans="1:35" s="4" customFormat="1" ht="21">
      <c r="A68" s="194">
        <v>853</v>
      </c>
      <c r="B68" s="194"/>
      <c r="C68" s="192" t="s">
        <v>36</v>
      </c>
      <c r="D68" s="369">
        <f>D70+D71+D72+D69</f>
        <v>3810574.0300000003</v>
      </c>
      <c r="E68" s="369">
        <f t="shared" ref="E68:M68" si="21">E70+E71+E72+E69</f>
        <v>2104299.84</v>
      </c>
      <c r="F68" s="369">
        <f t="shared" si="21"/>
        <v>2104299.84</v>
      </c>
      <c r="G68" s="369">
        <f t="shared" si="21"/>
        <v>1062566.31</v>
      </c>
      <c r="H68" s="369">
        <f t="shared" si="21"/>
        <v>104218.1100000001</v>
      </c>
      <c r="I68" s="369">
        <f t="shared" si="21"/>
        <v>89040</v>
      </c>
      <c r="J68" s="366">
        <f t="shared" si="21"/>
        <v>0</v>
      </c>
      <c r="K68" s="369">
        <f t="shared" si="21"/>
        <v>848475.41999999993</v>
      </c>
      <c r="L68" s="366">
        <f t="shared" si="21"/>
        <v>0</v>
      </c>
      <c r="M68" s="366">
        <f t="shared" si="21"/>
        <v>0</v>
      </c>
      <c r="N68" s="366">
        <f t="shared" ref="N68:O68" si="22">N70+N71+N72+N69</f>
        <v>0</v>
      </c>
      <c r="O68" s="366">
        <f t="shared" si="22"/>
        <v>0</v>
      </c>
      <c r="P68" s="300">
        <f t="shared" si="2"/>
        <v>55.222646861947979</v>
      </c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</row>
    <row r="69" spans="1:35" s="5" customFormat="1" ht="22.5">
      <c r="A69" s="400"/>
      <c r="B69" s="186">
        <v>85311</v>
      </c>
      <c r="C69" s="163" t="s">
        <v>153</v>
      </c>
      <c r="D69" s="370">
        <v>89040</v>
      </c>
      <c r="E69" s="370">
        <v>89040</v>
      </c>
      <c r="F69" s="370">
        <f>E69</f>
        <v>89040</v>
      </c>
      <c r="G69" s="367">
        <v>0</v>
      </c>
      <c r="H69" s="367">
        <v>0</v>
      </c>
      <c r="I69" s="370">
        <f>F69</f>
        <v>89040</v>
      </c>
      <c r="J69" s="367">
        <v>0</v>
      </c>
      <c r="K69" s="367">
        <v>0</v>
      </c>
      <c r="L69" s="367">
        <v>0</v>
      </c>
      <c r="M69" s="367">
        <v>0</v>
      </c>
      <c r="N69" s="367">
        <v>0</v>
      </c>
      <c r="O69" s="367">
        <v>0</v>
      </c>
      <c r="P69" s="300">
        <f t="shared" si="2"/>
        <v>100</v>
      </c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</row>
    <row r="70" spans="1:35" ht="12" customHeight="1">
      <c r="A70" s="400"/>
      <c r="B70" s="186">
        <v>85321</v>
      </c>
      <c r="C70" s="182" t="s">
        <v>116</v>
      </c>
      <c r="D70" s="370">
        <v>83000</v>
      </c>
      <c r="E70" s="370">
        <v>42945.52</v>
      </c>
      <c r="F70" s="370">
        <f>E70</f>
        <v>42945.52</v>
      </c>
      <c r="G70" s="370">
        <f>18192+2957.66+3418.62+531.24+7475</f>
        <v>32574.52</v>
      </c>
      <c r="H70" s="370">
        <f>F70-G70</f>
        <v>10370.999999999996</v>
      </c>
      <c r="I70" s="367">
        <v>0</v>
      </c>
      <c r="J70" s="367">
        <v>0</v>
      </c>
      <c r="K70" s="367">
        <v>0</v>
      </c>
      <c r="L70" s="367">
        <v>0</v>
      </c>
      <c r="M70" s="367">
        <v>0</v>
      </c>
      <c r="N70" s="367">
        <v>0</v>
      </c>
      <c r="O70" s="367">
        <v>0</v>
      </c>
      <c r="P70" s="300">
        <f t="shared" si="2"/>
        <v>51.74159036144578</v>
      </c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</row>
    <row r="71" spans="1:35" ht="14.25" customHeight="1">
      <c r="A71" s="400"/>
      <c r="B71" s="186">
        <v>85333</v>
      </c>
      <c r="C71" s="182" t="s">
        <v>94</v>
      </c>
      <c r="D71" s="370">
        <v>2197261</v>
      </c>
      <c r="E71" s="370">
        <v>1100225.07</v>
      </c>
      <c r="F71" s="370">
        <f>E71-M71</f>
        <v>1100225.07</v>
      </c>
      <c r="G71" s="370">
        <f>743908.67+118380.62+126432.33+17793.87+2480</f>
        <v>1008995.49</v>
      </c>
      <c r="H71" s="370">
        <f>F71-G71</f>
        <v>91229.580000000075</v>
      </c>
      <c r="I71" s="367">
        <v>0</v>
      </c>
      <c r="J71" s="367">
        <v>0</v>
      </c>
      <c r="K71" s="367">
        <v>0</v>
      </c>
      <c r="L71" s="367">
        <v>0</v>
      </c>
      <c r="M71" s="367">
        <v>0</v>
      </c>
      <c r="N71" s="367">
        <v>0</v>
      </c>
      <c r="O71" s="367">
        <v>0</v>
      </c>
      <c r="P71" s="300">
        <f t="shared" si="2"/>
        <v>50.072570805197927</v>
      </c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</row>
    <row r="72" spans="1:35" ht="14.25" customHeight="1">
      <c r="A72" s="400"/>
      <c r="B72" s="186">
        <v>85395</v>
      </c>
      <c r="C72" s="182" t="s">
        <v>74</v>
      </c>
      <c r="D72" s="370">
        <v>1441273.03</v>
      </c>
      <c r="E72" s="370">
        <v>872089.25</v>
      </c>
      <c r="F72" s="370">
        <f>E72</f>
        <v>872089.25</v>
      </c>
      <c r="G72" s="370">
        <f>12251.09+1733.65+2671.41+432.15+3908</f>
        <v>20996.300000000003</v>
      </c>
      <c r="H72" s="370">
        <f>F72-G72-K72</f>
        <v>2617.5300000000279</v>
      </c>
      <c r="I72" s="367">
        <v>0</v>
      </c>
      <c r="J72" s="367">
        <v>0</v>
      </c>
      <c r="K72" s="370">
        <f>588090.41+34622.85+14823+72547.53+2243.12+17810.89+776.12+2543.84+119.5+88027.53+5182.47+3568.08+210.08+11247.81+662.19+5666.4+333.6</f>
        <v>848475.41999999993</v>
      </c>
      <c r="L72" s="367">
        <v>0</v>
      </c>
      <c r="M72" s="367">
        <v>0</v>
      </c>
      <c r="N72" s="367">
        <v>0</v>
      </c>
      <c r="O72" s="367">
        <v>0</v>
      </c>
      <c r="P72" s="300">
        <f t="shared" si="2"/>
        <v>60.508261227922929</v>
      </c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</row>
    <row r="73" spans="1:35" s="4" customFormat="1" ht="12.75" customHeight="1">
      <c r="A73" s="194">
        <v>854</v>
      </c>
      <c r="B73" s="194" t="s">
        <v>12</v>
      </c>
      <c r="C73" s="192" t="s">
        <v>95</v>
      </c>
      <c r="D73" s="369">
        <f>SUM(D74:D81)</f>
        <v>7040679.3899999997</v>
      </c>
      <c r="E73" s="369">
        <f t="shared" ref="E73:M73" si="23">SUM(E74:E81)</f>
        <v>2414746.9500000002</v>
      </c>
      <c r="F73" s="369">
        <f t="shared" si="23"/>
        <v>2387440.9500000002</v>
      </c>
      <c r="G73" s="369">
        <f t="shared" si="23"/>
        <v>1276790.68</v>
      </c>
      <c r="H73" s="369">
        <f t="shared" si="23"/>
        <v>435044.03</v>
      </c>
      <c r="I73" s="369">
        <f t="shared" si="23"/>
        <v>634748</v>
      </c>
      <c r="J73" s="371">
        <f t="shared" si="23"/>
        <v>40858.239999999998</v>
      </c>
      <c r="K73" s="366">
        <f t="shared" si="23"/>
        <v>0</v>
      </c>
      <c r="L73" s="366">
        <f t="shared" si="23"/>
        <v>0</v>
      </c>
      <c r="M73" s="369">
        <f t="shared" si="23"/>
        <v>27306</v>
      </c>
      <c r="N73" s="369">
        <f t="shared" ref="N73:O73" si="24">SUM(N74:N81)</f>
        <v>27306</v>
      </c>
      <c r="O73" s="366">
        <f t="shared" si="24"/>
        <v>0</v>
      </c>
      <c r="P73" s="300">
        <f t="shared" si="2"/>
        <v>34.297072998803316</v>
      </c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</row>
    <row r="74" spans="1:35" ht="11.25" customHeight="1">
      <c r="A74" s="401"/>
      <c r="B74" s="186">
        <v>85406</v>
      </c>
      <c r="C74" s="182" t="s">
        <v>44</v>
      </c>
      <c r="D74" s="370">
        <v>919468</v>
      </c>
      <c r="E74" s="370">
        <v>458976.72</v>
      </c>
      <c r="F74" s="370">
        <f>E74-M74</f>
        <v>445446.72</v>
      </c>
      <c r="G74" s="373">
        <f>275805.01+43195.51+40928.54+5341.12+5709.1</f>
        <v>370979.27999999997</v>
      </c>
      <c r="H74" s="370">
        <f>F74-G74-J74</f>
        <v>74318.44</v>
      </c>
      <c r="I74" s="367">
        <v>0</v>
      </c>
      <c r="J74" s="372">
        <v>149</v>
      </c>
      <c r="K74" s="367">
        <v>0</v>
      </c>
      <c r="L74" s="367">
        <v>0</v>
      </c>
      <c r="M74" s="370">
        <v>13530</v>
      </c>
      <c r="N74" s="370">
        <v>13530</v>
      </c>
      <c r="O74" s="367">
        <v>0</v>
      </c>
      <c r="P74" s="300">
        <f t="shared" si="2"/>
        <v>49.917639330569415</v>
      </c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</row>
    <row r="75" spans="1:35" ht="12.75" customHeight="1">
      <c r="A75" s="402"/>
      <c r="B75" s="186">
        <v>85407</v>
      </c>
      <c r="C75" s="182" t="s">
        <v>45</v>
      </c>
      <c r="D75" s="370">
        <v>548944.16</v>
      </c>
      <c r="E75" s="370">
        <v>275698.03000000003</v>
      </c>
      <c r="F75" s="370">
        <f>E75-M75</f>
        <v>262168.03000000003</v>
      </c>
      <c r="G75" s="373">
        <f>130084.35+19283.37+20017.89+2407.45+40642</f>
        <v>212435.06</v>
      </c>
      <c r="H75" s="370">
        <f>F75-G75-J75</f>
        <v>49651.97000000003</v>
      </c>
      <c r="I75" s="367">
        <v>0</v>
      </c>
      <c r="J75" s="372">
        <v>81</v>
      </c>
      <c r="K75" s="367">
        <v>0</v>
      </c>
      <c r="L75" s="367">
        <v>0</v>
      </c>
      <c r="M75" s="370">
        <v>13530</v>
      </c>
      <c r="N75" s="370">
        <v>13530</v>
      </c>
      <c r="O75" s="367">
        <v>0</v>
      </c>
      <c r="P75" s="300">
        <f t="shared" ref="P75:P90" si="25">E75/D75*100</f>
        <v>50.223328726185926</v>
      </c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1:35">
      <c r="A76" s="402"/>
      <c r="B76" s="186">
        <v>85410</v>
      </c>
      <c r="C76" s="182" t="s">
        <v>46</v>
      </c>
      <c r="D76" s="373">
        <v>2649315</v>
      </c>
      <c r="E76" s="373">
        <v>269848.21000000002</v>
      </c>
      <c r="F76" s="370">
        <f>E76-M76</f>
        <v>269602.21000000002</v>
      </c>
      <c r="G76" s="373">
        <f>134182.25+19321.29+20577.57+3671.45+4654.19</f>
        <v>182406.75000000003</v>
      </c>
      <c r="H76" s="370">
        <f>F76-G76-J76</f>
        <v>78367.899999999994</v>
      </c>
      <c r="I76" s="367">
        <v>0</v>
      </c>
      <c r="J76" s="372">
        <v>8827.56</v>
      </c>
      <c r="K76" s="367">
        <v>0</v>
      </c>
      <c r="L76" s="367">
        <v>0</v>
      </c>
      <c r="M76" s="370">
        <v>246</v>
      </c>
      <c r="N76" s="370">
        <v>246</v>
      </c>
      <c r="O76" s="367">
        <v>0</v>
      </c>
      <c r="P76" s="300">
        <f t="shared" si="25"/>
        <v>10.18558419817953</v>
      </c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1:35">
      <c r="A77" s="402"/>
      <c r="B77" s="186">
        <v>85415</v>
      </c>
      <c r="C77" s="182" t="s">
        <v>97</v>
      </c>
      <c r="D77" s="373">
        <v>20000</v>
      </c>
      <c r="E77" s="368">
        <v>0</v>
      </c>
      <c r="F77" s="367">
        <f>E77</f>
        <v>0</v>
      </c>
      <c r="G77" s="367">
        <v>0</v>
      </c>
      <c r="H77" s="367">
        <v>0</v>
      </c>
      <c r="I77" s="367">
        <v>0</v>
      </c>
      <c r="J77" s="367">
        <v>0</v>
      </c>
      <c r="K77" s="367">
        <v>0</v>
      </c>
      <c r="L77" s="367">
        <v>0</v>
      </c>
      <c r="M77" s="367">
        <v>0</v>
      </c>
      <c r="N77" s="367">
        <v>0</v>
      </c>
      <c r="O77" s="367">
        <v>0</v>
      </c>
      <c r="P77" s="300">
        <f t="shared" si="25"/>
        <v>0</v>
      </c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</row>
    <row r="78" spans="1:35" ht="12" customHeight="1">
      <c r="A78" s="402"/>
      <c r="B78" s="186">
        <v>85419</v>
      </c>
      <c r="C78" s="182" t="s">
        <v>151</v>
      </c>
      <c r="D78" s="373">
        <v>1264100</v>
      </c>
      <c r="E78" s="373">
        <v>634748</v>
      </c>
      <c r="F78" s="370">
        <f>E78</f>
        <v>634748</v>
      </c>
      <c r="G78" s="367">
        <v>0</v>
      </c>
      <c r="H78" s="367">
        <v>0</v>
      </c>
      <c r="I78" s="370">
        <f>F78</f>
        <v>634748</v>
      </c>
      <c r="J78" s="367">
        <v>0</v>
      </c>
      <c r="K78" s="367">
        <v>0</v>
      </c>
      <c r="L78" s="367">
        <v>0</v>
      </c>
      <c r="M78" s="367">
        <v>0</v>
      </c>
      <c r="N78" s="367">
        <v>0</v>
      </c>
      <c r="O78" s="367">
        <v>0</v>
      </c>
      <c r="P78" s="300">
        <f t="shared" si="25"/>
        <v>50.21343248160747</v>
      </c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</row>
    <row r="79" spans="1:35">
      <c r="A79" s="402"/>
      <c r="B79" s="186">
        <v>85420</v>
      </c>
      <c r="C79" s="182" t="s">
        <v>119</v>
      </c>
      <c r="D79" s="373">
        <v>1489676</v>
      </c>
      <c r="E79" s="373">
        <v>773168.35</v>
      </c>
      <c r="F79" s="370">
        <f>E79</f>
        <v>773168.35</v>
      </c>
      <c r="G79" s="373">
        <f>385595.99+58126+59365.13+7882.47</f>
        <v>510969.58999999997</v>
      </c>
      <c r="H79" s="370">
        <f>F79-G79-J79</f>
        <v>230398.08000000002</v>
      </c>
      <c r="I79" s="367">
        <v>0</v>
      </c>
      <c r="J79" s="370">
        <v>31800.68</v>
      </c>
      <c r="K79" s="367">
        <v>0</v>
      </c>
      <c r="L79" s="367">
        <v>0</v>
      </c>
      <c r="M79" s="367">
        <v>0</v>
      </c>
      <c r="N79" s="367">
        <v>0</v>
      </c>
      <c r="O79" s="367">
        <v>0</v>
      </c>
      <c r="P79" s="300">
        <f t="shared" si="25"/>
        <v>51.901779313085527</v>
      </c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</row>
    <row r="80" spans="1:35" ht="13.5" customHeight="1">
      <c r="A80" s="402"/>
      <c r="B80" s="186">
        <v>85446</v>
      </c>
      <c r="C80" s="182" t="s">
        <v>84</v>
      </c>
      <c r="D80" s="373">
        <v>15843.31</v>
      </c>
      <c r="E80" s="373">
        <v>2307.64</v>
      </c>
      <c r="F80" s="370">
        <f>E80</f>
        <v>2307.64</v>
      </c>
      <c r="G80" s="367">
        <v>0</v>
      </c>
      <c r="H80" s="370">
        <f>F80</f>
        <v>2307.64</v>
      </c>
      <c r="I80" s="367">
        <v>0</v>
      </c>
      <c r="J80" s="367">
        <v>0</v>
      </c>
      <c r="K80" s="367">
        <v>0</v>
      </c>
      <c r="L80" s="367">
        <v>0</v>
      </c>
      <c r="M80" s="367">
        <v>0</v>
      </c>
      <c r="N80" s="367">
        <v>0</v>
      </c>
      <c r="O80" s="367">
        <v>0</v>
      </c>
      <c r="P80" s="300">
        <f t="shared" si="25"/>
        <v>14.565390691717827</v>
      </c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</row>
    <row r="81" spans="1:35">
      <c r="A81" s="403"/>
      <c r="B81" s="223">
        <v>85495</v>
      </c>
      <c r="C81" s="182" t="s">
        <v>74</v>
      </c>
      <c r="D81" s="373">
        <v>133332.92000000001</v>
      </c>
      <c r="E81" s="368">
        <v>0</v>
      </c>
      <c r="F81" s="367">
        <f>E81</f>
        <v>0</v>
      </c>
      <c r="G81" s="367">
        <v>0</v>
      </c>
      <c r="H81" s="367">
        <v>0</v>
      </c>
      <c r="I81" s="367">
        <v>0</v>
      </c>
      <c r="J81" s="367">
        <v>0</v>
      </c>
      <c r="K81" s="367">
        <v>0</v>
      </c>
      <c r="L81" s="367">
        <v>0</v>
      </c>
      <c r="M81" s="367">
        <v>0</v>
      </c>
      <c r="N81" s="367">
        <v>0</v>
      </c>
      <c r="O81" s="367">
        <v>0</v>
      </c>
      <c r="P81" s="300">
        <f t="shared" si="25"/>
        <v>0</v>
      </c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</row>
    <row r="82" spans="1:35" s="41" customFormat="1" ht="12.75" customHeight="1">
      <c r="A82" s="194">
        <v>921</v>
      </c>
      <c r="B82" s="194"/>
      <c r="C82" s="192" t="s">
        <v>117</v>
      </c>
      <c r="D82" s="369">
        <f>D83+D84+D85</f>
        <v>162800</v>
      </c>
      <c r="E82" s="369">
        <f t="shared" ref="E82:L82" si="26">E83+E84+E85</f>
        <v>53900</v>
      </c>
      <c r="F82" s="369">
        <f t="shared" si="26"/>
        <v>53900</v>
      </c>
      <c r="G82" s="366">
        <f t="shared" si="26"/>
        <v>0</v>
      </c>
      <c r="H82" s="366">
        <f t="shared" si="26"/>
        <v>0</v>
      </c>
      <c r="I82" s="369">
        <f t="shared" si="26"/>
        <v>53900</v>
      </c>
      <c r="J82" s="366">
        <f t="shared" si="26"/>
        <v>0</v>
      </c>
      <c r="K82" s="366">
        <f t="shared" si="26"/>
        <v>0</v>
      </c>
      <c r="L82" s="366">
        <f t="shared" si="26"/>
        <v>0</v>
      </c>
      <c r="M82" s="366">
        <f t="shared" ref="M82:N82" si="27">M83+M84+M85</f>
        <v>0</v>
      </c>
      <c r="N82" s="366">
        <f t="shared" si="27"/>
        <v>0</v>
      </c>
      <c r="O82" s="366">
        <f t="shared" ref="O82" si="28">O83+O84+O85</f>
        <v>0</v>
      </c>
      <c r="P82" s="300">
        <f t="shared" si="25"/>
        <v>33.108108108108105</v>
      </c>
      <c r="Q82" s="40"/>
      <c r="R82" s="40"/>
      <c r="S82" s="40"/>
      <c r="T82" s="40"/>
      <c r="U82" s="40"/>
      <c r="V82" s="40"/>
      <c r="W82" s="40"/>
      <c r="X82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</row>
    <row r="83" spans="1:35">
      <c r="A83" s="448"/>
      <c r="B83" s="186">
        <v>92105</v>
      </c>
      <c r="C83" s="182" t="s">
        <v>118</v>
      </c>
      <c r="D83" s="370">
        <v>55000</v>
      </c>
      <c r="E83" s="367">
        <v>0</v>
      </c>
      <c r="F83" s="367">
        <f>E83</f>
        <v>0</v>
      </c>
      <c r="G83" s="367">
        <v>0</v>
      </c>
      <c r="H83" s="367">
        <v>0</v>
      </c>
      <c r="I83" s="367">
        <v>0</v>
      </c>
      <c r="J83" s="367">
        <v>0</v>
      </c>
      <c r="K83" s="367">
        <v>0</v>
      </c>
      <c r="L83" s="367">
        <v>0</v>
      </c>
      <c r="M83" s="367">
        <v>0</v>
      </c>
      <c r="N83" s="367">
        <v>0</v>
      </c>
      <c r="O83" s="367">
        <v>0</v>
      </c>
      <c r="P83" s="300">
        <f t="shared" si="25"/>
        <v>0</v>
      </c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</row>
    <row r="84" spans="1:35">
      <c r="A84" s="448"/>
      <c r="B84" s="186">
        <v>92116</v>
      </c>
      <c r="C84" s="182" t="s">
        <v>174</v>
      </c>
      <c r="D84" s="370">
        <v>57800</v>
      </c>
      <c r="E84" s="370">
        <v>28900</v>
      </c>
      <c r="F84" s="370">
        <f>E84-M84</f>
        <v>28900</v>
      </c>
      <c r="G84" s="367">
        <v>0</v>
      </c>
      <c r="H84" s="367">
        <v>0</v>
      </c>
      <c r="I84" s="370">
        <v>28900</v>
      </c>
      <c r="J84" s="367">
        <v>0</v>
      </c>
      <c r="K84" s="367">
        <v>0</v>
      </c>
      <c r="L84" s="367">
        <v>0</v>
      </c>
      <c r="M84" s="367">
        <v>0</v>
      </c>
      <c r="N84" s="367">
        <v>0</v>
      </c>
      <c r="O84" s="367">
        <v>0</v>
      </c>
      <c r="P84" s="300">
        <f t="shared" si="25"/>
        <v>50</v>
      </c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</row>
    <row r="85" spans="1:35">
      <c r="A85" s="448"/>
      <c r="B85" s="186">
        <v>92120</v>
      </c>
      <c r="C85" s="182" t="s">
        <v>321</v>
      </c>
      <c r="D85" s="370">
        <v>50000</v>
      </c>
      <c r="E85" s="370">
        <v>25000</v>
      </c>
      <c r="F85" s="370">
        <f>E85</f>
        <v>25000</v>
      </c>
      <c r="G85" s="367">
        <v>0</v>
      </c>
      <c r="H85" s="367">
        <v>0</v>
      </c>
      <c r="I85" s="370">
        <v>25000</v>
      </c>
      <c r="J85" s="367">
        <v>0</v>
      </c>
      <c r="K85" s="367">
        <v>0</v>
      </c>
      <c r="L85" s="367">
        <v>0</v>
      </c>
      <c r="M85" s="367">
        <v>0</v>
      </c>
      <c r="N85" s="367">
        <v>0</v>
      </c>
      <c r="O85" s="367">
        <v>0</v>
      </c>
      <c r="P85" s="300">
        <f t="shared" si="25"/>
        <v>50</v>
      </c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</row>
    <row r="86" spans="1:35" s="4" customFormat="1">
      <c r="A86" s="194">
        <v>926</v>
      </c>
      <c r="B86" s="194"/>
      <c r="C86" s="192" t="s">
        <v>98</v>
      </c>
      <c r="D86" s="369">
        <f>D88+D87+D89</f>
        <v>1158599.9099999999</v>
      </c>
      <c r="E86" s="369">
        <f t="shared" ref="E86:L86" si="29">E88+E87+E89</f>
        <v>65128.23</v>
      </c>
      <c r="F86" s="369">
        <f t="shared" si="29"/>
        <v>65128.23</v>
      </c>
      <c r="G86" s="369">
        <f t="shared" si="29"/>
        <v>20389.900000000001</v>
      </c>
      <c r="H86" s="369">
        <f t="shared" si="29"/>
        <v>1438.3300000000004</v>
      </c>
      <c r="I86" s="369">
        <f t="shared" si="29"/>
        <v>30900</v>
      </c>
      <c r="J86" s="369">
        <f t="shared" si="29"/>
        <v>12400</v>
      </c>
      <c r="K86" s="366">
        <f t="shared" si="29"/>
        <v>0</v>
      </c>
      <c r="L86" s="366">
        <f t="shared" si="29"/>
        <v>0</v>
      </c>
      <c r="M86" s="366">
        <f t="shared" ref="M86:N86" si="30">M88+M87+M89</f>
        <v>0</v>
      </c>
      <c r="N86" s="366">
        <f t="shared" si="30"/>
        <v>0</v>
      </c>
      <c r="O86" s="366">
        <f t="shared" ref="O86" si="31">O88+O87+O89</f>
        <v>0</v>
      </c>
      <c r="P86" s="300">
        <f t="shared" si="25"/>
        <v>5.6212873346416892</v>
      </c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</row>
    <row r="87" spans="1:35" s="5" customFormat="1">
      <c r="A87" s="400"/>
      <c r="B87" s="186">
        <v>92601</v>
      </c>
      <c r="C87" s="182" t="s">
        <v>152</v>
      </c>
      <c r="D87" s="370">
        <v>1078599.9099999999</v>
      </c>
      <c r="E87" s="370">
        <v>22383.83</v>
      </c>
      <c r="F87" s="370">
        <f>E87</f>
        <v>22383.83</v>
      </c>
      <c r="G87" s="370">
        <f>9293+1376.69+2081.16+263.05+7376</f>
        <v>20389.900000000001</v>
      </c>
      <c r="H87" s="370">
        <f>F87-G87-I87</f>
        <v>1093.9300000000003</v>
      </c>
      <c r="I87" s="370">
        <v>900</v>
      </c>
      <c r="J87" s="367">
        <v>0</v>
      </c>
      <c r="K87" s="367">
        <v>0</v>
      </c>
      <c r="L87" s="367">
        <v>0</v>
      </c>
      <c r="M87" s="367">
        <v>0</v>
      </c>
      <c r="N87" s="367">
        <v>0</v>
      </c>
      <c r="O87" s="367">
        <v>0</v>
      </c>
      <c r="P87" s="300">
        <f t="shared" si="25"/>
        <v>2.0752671859577667</v>
      </c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</row>
    <row r="88" spans="1:35" ht="13.5" customHeight="1">
      <c r="A88" s="400"/>
      <c r="B88" s="186">
        <v>92605</v>
      </c>
      <c r="C88" s="182" t="s">
        <v>99</v>
      </c>
      <c r="D88" s="370">
        <v>60000</v>
      </c>
      <c r="E88" s="370">
        <v>30344.400000000001</v>
      </c>
      <c r="F88" s="370">
        <f>E88</f>
        <v>30344.400000000001</v>
      </c>
      <c r="G88" s="367">
        <v>0</v>
      </c>
      <c r="H88" s="370">
        <v>344.4</v>
      </c>
      <c r="I88" s="370">
        <v>30000</v>
      </c>
      <c r="J88" s="367">
        <v>0</v>
      </c>
      <c r="K88" s="367">
        <v>0</v>
      </c>
      <c r="L88" s="367">
        <v>0</v>
      </c>
      <c r="M88" s="367">
        <v>0</v>
      </c>
      <c r="N88" s="367">
        <v>0</v>
      </c>
      <c r="O88" s="367">
        <v>0</v>
      </c>
      <c r="P88" s="300">
        <f t="shared" si="25"/>
        <v>50.574000000000005</v>
      </c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</row>
    <row r="89" spans="1:35" ht="15" customHeight="1">
      <c r="A89" s="400"/>
      <c r="B89" s="186">
        <v>92695</v>
      </c>
      <c r="C89" s="182" t="s">
        <v>74</v>
      </c>
      <c r="D89" s="370">
        <v>20000</v>
      </c>
      <c r="E89" s="370">
        <v>12400</v>
      </c>
      <c r="F89" s="370">
        <v>12400</v>
      </c>
      <c r="G89" s="367">
        <v>0</v>
      </c>
      <c r="H89" s="367">
        <v>0</v>
      </c>
      <c r="I89" s="367">
        <v>0</v>
      </c>
      <c r="J89" s="370">
        <v>12400</v>
      </c>
      <c r="K89" s="367">
        <v>0</v>
      </c>
      <c r="L89" s="367">
        <v>0</v>
      </c>
      <c r="M89" s="367">
        <v>0</v>
      </c>
      <c r="N89" s="367">
        <v>0</v>
      </c>
      <c r="O89" s="367">
        <v>0</v>
      </c>
      <c r="P89" s="300">
        <f t="shared" si="25"/>
        <v>62</v>
      </c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</row>
    <row r="90" spans="1:35" s="48" customFormat="1" ht="12">
      <c r="A90" s="453" t="s">
        <v>26</v>
      </c>
      <c r="B90" s="453"/>
      <c r="C90" s="453"/>
      <c r="D90" s="365">
        <f>D12+D15+D18+D21+D23+D27+D34+D39+D43+D54+D59+D68+D73+D82+D86+D41</f>
        <v>68469133.899999991</v>
      </c>
      <c r="E90" s="365">
        <f t="shared" ref="E90:O90" si="32">E12+E15+E18+E21+E23+E27+E34+E39+E43+E54+E59+E68+E73+E82+E86+E41</f>
        <v>25908299.48</v>
      </c>
      <c r="F90" s="365">
        <f t="shared" si="32"/>
        <v>24774416.220000003</v>
      </c>
      <c r="G90" s="365">
        <f t="shared" si="32"/>
        <v>12856772.630000001</v>
      </c>
      <c r="H90" s="365">
        <f t="shared" si="32"/>
        <v>5906133.1400000015</v>
      </c>
      <c r="I90" s="365">
        <f t="shared" si="32"/>
        <v>3600662.6999999997</v>
      </c>
      <c r="J90" s="365">
        <f t="shared" si="32"/>
        <v>1149731.56</v>
      </c>
      <c r="K90" s="365">
        <f t="shared" si="32"/>
        <v>848475.41999999993</v>
      </c>
      <c r="L90" s="365">
        <f t="shared" si="32"/>
        <v>412640.77</v>
      </c>
      <c r="M90" s="365">
        <f t="shared" si="32"/>
        <v>1133883.26</v>
      </c>
      <c r="N90" s="365">
        <f t="shared" si="32"/>
        <v>1133883.26</v>
      </c>
      <c r="O90" s="365">
        <f t="shared" si="32"/>
        <v>323484.52</v>
      </c>
      <c r="P90" s="300">
        <f t="shared" si="25"/>
        <v>37.839385434376005</v>
      </c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</row>
    <row r="91" spans="1:35">
      <c r="A91" s="1"/>
      <c r="B91" s="1"/>
      <c r="C91" s="1"/>
      <c r="D91" s="1"/>
      <c r="E91" s="1"/>
      <c r="F91" s="337"/>
      <c r="G91" s="1"/>
      <c r="H91" s="1"/>
      <c r="I91" s="1"/>
      <c r="J91" s="1"/>
      <c r="K91" s="1"/>
      <c r="L91" s="1"/>
      <c r="M91" s="1"/>
      <c r="N91" s="1"/>
      <c r="O91" s="1"/>
    </row>
    <row r="92" spans="1:35">
      <c r="A92" s="1"/>
      <c r="B92" s="1"/>
      <c r="C92" s="1"/>
      <c r="D92" s="1"/>
      <c r="E92" s="337"/>
      <c r="F92" s="452"/>
      <c r="G92" s="452"/>
      <c r="H92" s="1"/>
      <c r="I92" s="1"/>
      <c r="J92" s="1"/>
      <c r="K92" s="1"/>
      <c r="L92" s="1"/>
      <c r="M92" s="1"/>
      <c r="N92" s="1"/>
      <c r="O92" s="1"/>
    </row>
    <row r="93" spans="1:35">
      <c r="E93" s="233"/>
      <c r="F93" s="338"/>
      <c r="G93" s="338"/>
      <c r="I93" s="233"/>
    </row>
    <row r="94" spans="1:35">
      <c r="F94" s="338"/>
      <c r="G94" s="338"/>
      <c r="M94" s="360"/>
      <c r="N94" s="91"/>
    </row>
    <row r="95" spans="1:35">
      <c r="F95" s="338"/>
      <c r="G95" s="338"/>
    </row>
    <row r="96" spans="1:35">
      <c r="F96" s="338"/>
      <c r="G96" s="338"/>
      <c r="M96" s="233"/>
    </row>
    <row r="97" spans="6:7">
      <c r="F97" s="338"/>
      <c r="G97" s="338"/>
    </row>
  </sheetData>
  <mergeCells count="31">
    <mergeCell ref="A16:A17"/>
    <mergeCell ref="A2:P2"/>
    <mergeCell ref="A3:P3"/>
    <mergeCell ref="A4:P4"/>
    <mergeCell ref="A5:P5"/>
    <mergeCell ref="A13:A14"/>
    <mergeCell ref="A8:A10"/>
    <mergeCell ref="B8:B10"/>
    <mergeCell ref="C8:C10"/>
    <mergeCell ref="D8:D10"/>
    <mergeCell ref="E8:E10"/>
    <mergeCell ref="N9:O9"/>
    <mergeCell ref="I1:P1"/>
    <mergeCell ref="F8:M8"/>
    <mergeCell ref="M9:M10"/>
    <mergeCell ref="F9:F10"/>
    <mergeCell ref="P8:P10"/>
    <mergeCell ref="G9:L9"/>
    <mergeCell ref="F92:G92"/>
    <mergeCell ref="A44:A53"/>
    <mergeCell ref="A90:C90"/>
    <mergeCell ref="A87:A89"/>
    <mergeCell ref="A83:A85"/>
    <mergeCell ref="A69:A72"/>
    <mergeCell ref="A36:A38"/>
    <mergeCell ref="A74:A81"/>
    <mergeCell ref="A60:A67"/>
    <mergeCell ref="A55:A58"/>
    <mergeCell ref="A19:A20"/>
    <mergeCell ref="A28:A33"/>
    <mergeCell ref="A24:A26"/>
  </mergeCells>
  <phoneticPr fontId="0" type="noConversion"/>
  <pageMargins left="0.78740157480314965" right="0.19685039370078741" top="0.78740157480314965" bottom="0.78740157480314965" header="0.51181102362204722" footer="0.51181102362204722"/>
  <pageSetup paperSize="9" scale="74" fitToWidth="2" fitToHeight="2" orientation="landscape" r:id="rId1"/>
  <headerFooter alignWithMargins="0">
    <oddFooter>&amp;C&amp;"Times New (W1),Normalny"Tabela Nr 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X125"/>
  <sheetViews>
    <sheetView view="pageLayout" workbookViewId="0">
      <selection activeCell="J95" sqref="J95"/>
    </sheetView>
  </sheetViews>
  <sheetFormatPr defaultRowHeight="12.75"/>
  <cols>
    <col min="1" max="1" width="5.28515625" customWidth="1"/>
    <col min="2" max="2" width="6" hidden="1" customWidth="1"/>
    <col min="3" max="3" width="6.140625" hidden="1" customWidth="1"/>
    <col min="4" max="4" width="25.28515625" customWidth="1"/>
    <col min="5" max="5" width="13.5703125" customWidth="1"/>
    <col min="6" max="6" width="12.7109375" hidden="1" customWidth="1"/>
    <col min="7" max="9" width="12.7109375" customWidth="1"/>
    <col min="10" max="10" width="16.7109375" customWidth="1"/>
    <col min="11" max="11" width="40.7109375" customWidth="1"/>
    <col min="12" max="12" width="0.85546875" hidden="1" customWidth="1"/>
  </cols>
  <sheetData>
    <row r="1" spans="1:24" ht="15.75" customHeight="1">
      <c r="D1" t="s">
        <v>136</v>
      </c>
      <c r="E1" t="s">
        <v>127</v>
      </c>
    </row>
    <row r="2" spans="1:24" s="3" customFormat="1">
      <c r="A2" s="104" t="s">
        <v>13</v>
      </c>
      <c r="B2" s="26"/>
      <c r="C2" s="12" t="s">
        <v>27</v>
      </c>
      <c r="D2" s="13">
        <v>125294</v>
      </c>
      <c r="E2" s="27">
        <v>4259</v>
      </c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4" hidden="1">
      <c r="A3" s="105" t="s">
        <v>12</v>
      </c>
      <c r="B3" s="17" t="s">
        <v>48</v>
      </c>
      <c r="C3" s="14" t="s">
        <v>64</v>
      </c>
      <c r="D3" s="8">
        <v>92000</v>
      </c>
      <c r="E3" s="8">
        <v>2213</v>
      </c>
      <c r="F3" s="8">
        <v>0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</row>
    <row r="4" spans="1:24" hidden="1">
      <c r="A4" s="105"/>
      <c r="B4" s="17" t="s">
        <v>120</v>
      </c>
      <c r="C4" s="35" t="s">
        <v>121</v>
      </c>
      <c r="D4" s="8">
        <v>104</v>
      </c>
      <c r="E4" s="8">
        <v>104</v>
      </c>
      <c r="F4" s="8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</row>
    <row r="5" spans="1:24" s="4" customFormat="1" ht="24">
      <c r="A5" s="104" t="s">
        <v>14</v>
      </c>
      <c r="B5" s="103"/>
      <c r="C5" s="15" t="s">
        <v>28</v>
      </c>
      <c r="D5" s="16">
        <v>295000</v>
      </c>
      <c r="E5" s="16">
        <v>132232.38</v>
      </c>
      <c r="F5" s="16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spans="1:24" ht="48" hidden="1">
      <c r="A6" s="105"/>
      <c r="B6" s="17" t="s">
        <v>66</v>
      </c>
      <c r="C6" s="7" t="s">
        <v>67</v>
      </c>
      <c r="D6" s="8">
        <v>224829</v>
      </c>
      <c r="E6" s="8">
        <v>116347</v>
      </c>
      <c r="F6" s="8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hidden="1">
      <c r="A7" s="105"/>
      <c r="B7" s="17" t="s">
        <v>101</v>
      </c>
      <c r="C7" s="14" t="s">
        <v>102</v>
      </c>
      <c r="D7" s="8">
        <v>8200</v>
      </c>
      <c r="E7" s="8">
        <v>0</v>
      </c>
      <c r="F7" s="8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</row>
    <row r="8" spans="1:24">
      <c r="A8" s="105">
        <v>150</v>
      </c>
      <c r="B8" s="17"/>
      <c r="C8" s="14"/>
      <c r="D8" s="8">
        <v>1520</v>
      </c>
      <c r="E8" s="102">
        <v>1519.73</v>
      </c>
      <c r="F8" s="8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</row>
    <row r="9" spans="1:24" s="4" customFormat="1">
      <c r="A9" s="106">
        <v>600</v>
      </c>
      <c r="B9" s="103"/>
      <c r="C9" s="18" t="s">
        <v>69</v>
      </c>
      <c r="D9" s="16">
        <v>8561405.0899999999</v>
      </c>
      <c r="E9" s="31">
        <v>1649291.71</v>
      </c>
      <c r="F9" s="16">
        <f>F10</f>
        <v>262320</v>
      </c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</row>
    <row r="10" spans="1:24" hidden="1">
      <c r="A10" s="105"/>
      <c r="B10" s="17">
        <v>60014</v>
      </c>
      <c r="C10" s="14" t="s">
        <v>39</v>
      </c>
      <c r="D10" s="8">
        <v>1203064</v>
      </c>
      <c r="E10" s="8">
        <f>484309</f>
        <v>484309</v>
      </c>
      <c r="F10" s="8">
        <f>187452+34873+33469+5726+800</f>
        <v>262320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s="4" customFormat="1">
      <c r="A11" s="106">
        <v>700</v>
      </c>
      <c r="B11" s="103"/>
      <c r="C11" s="18" t="s">
        <v>29</v>
      </c>
      <c r="D11" s="16">
        <v>361092.34</v>
      </c>
      <c r="E11" s="16">
        <v>138522.95000000001</v>
      </c>
      <c r="F11" s="16">
        <f>F12</f>
        <v>244</v>
      </c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</row>
    <row r="12" spans="1:24" hidden="1">
      <c r="A12" s="105" t="s">
        <v>12</v>
      </c>
      <c r="B12" s="19">
        <v>70005</v>
      </c>
      <c r="C12" s="14" t="s">
        <v>70</v>
      </c>
      <c r="D12" s="8">
        <v>205200</v>
      </c>
      <c r="E12" s="8">
        <v>144908</v>
      </c>
      <c r="F12" s="8">
        <v>244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1:24" s="4" customFormat="1" ht="18" customHeight="1">
      <c r="A13" s="106">
        <v>710</v>
      </c>
      <c r="B13" s="26"/>
      <c r="C13" s="18" t="s">
        <v>103</v>
      </c>
      <c r="D13" s="16">
        <v>365173</v>
      </c>
      <c r="E13" s="16">
        <v>149685.07999999999</v>
      </c>
      <c r="F13" s="16">
        <f>F14+F15+F16</f>
        <v>53079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</row>
    <row r="14" spans="1:24" hidden="1">
      <c r="A14" s="105"/>
      <c r="B14" s="19">
        <v>71013</v>
      </c>
      <c r="C14" s="14" t="s">
        <v>104</v>
      </c>
      <c r="D14" s="8">
        <v>50000</v>
      </c>
      <c r="E14" s="8">
        <v>0</v>
      </c>
      <c r="F14" s="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</row>
    <row r="15" spans="1:24" ht="12.75" hidden="1" customHeight="1">
      <c r="A15" s="105"/>
      <c r="B15" s="19">
        <v>71014</v>
      </c>
      <c r="C15" s="7" t="s">
        <v>72</v>
      </c>
      <c r="D15" s="8">
        <v>20000</v>
      </c>
      <c r="E15" s="8">
        <v>0</v>
      </c>
      <c r="F15" s="8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ht="13.5" hidden="1" customHeight="1">
      <c r="A16" s="105" t="s">
        <v>12</v>
      </c>
      <c r="B16" s="19">
        <v>71015</v>
      </c>
      <c r="C16" s="7" t="s">
        <v>73</v>
      </c>
      <c r="D16" s="8">
        <v>121900</v>
      </c>
      <c r="E16" s="8">
        <v>57990</v>
      </c>
      <c r="F16" s="8">
        <f>26643+11345+6066+7954+1071</f>
        <v>53079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ht="13.5" hidden="1" customHeight="1">
      <c r="A17" s="105">
        <v>0</v>
      </c>
      <c r="B17" s="19">
        <v>71095</v>
      </c>
      <c r="C17" s="7" t="s">
        <v>74</v>
      </c>
      <c r="D17" s="8">
        <v>0</v>
      </c>
      <c r="E17" s="8">
        <v>0</v>
      </c>
      <c r="F17" s="8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s="4" customFormat="1" ht="60" hidden="1">
      <c r="A18" s="106">
        <v>750</v>
      </c>
      <c r="B18" s="26"/>
      <c r="C18" s="15" t="s">
        <v>31</v>
      </c>
      <c r="D18" s="16">
        <v>3770270</v>
      </c>
      <c r="E18" s="16">
        <v>1940122</v>
      </c>
      <c r="F18" s="16">
        <f>F19+F22+F20+F21+F23</f>
        <v>1088502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 ht="48" hidden="1">
      <c r="A19" s="105" t="s">
        <v>12</v>
      </c>
      <c r="B19" s="19">
        <v>75011</v>
      </c>
      <c r="C19" s="7" t="s">
        <v>75</v>
      </c>
      <c r="D19" s="8">
        <v>98000</v>
      </c>
      <c r="E19" s="8">
        <v>48996</v>
      </c>
      <c r="F19" s="8">
        <v>48996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ht="36" hidden="1">
      <c r="A20" s="105"/>
      <c r="B20" s="19">
        <v>75019</v>
      </c>
      <c r="C20" s="7" t="s">
        <v>105</v>
      </c>
      <c r="D20" s="8">
        <v>172200</v>
      </c>
      <c r="E20" s="8">
        <v>76455</v>
      </c>
      <c r="F20" s="8">
        <v>0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ht="48" hidden="1">
      <c r="A21" s="105"/>
      <c r="B21" s="19">
        <v>75020</v>
      </c>
      <c r="C21" s="7" t="s">
        <v>76</v>
      </c>
      <c r="D21" s="8">
        <v>2843856</v>
      </c>
      <c r="E21" s="8">
        <v>1524850</v>
      </c>
      <c r="F21" s="20">
        <f>734578+122354+126401+19171+28767</f>
        <v>1031271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ht="48" hidden="1">
      <c r="A22" s="105"/>
      <c r="B22" s="19">
        <v>75045</v>
      </c>
      <c r="C22" s="7" t="s">
        <v>77</v>
      </c>
      <c r="D22" s="8">
        <v>16162</v>
      </c>
      <c r="E22" s="8">
        <v>15620</v>
      </c>
      <c r="F22" s="20">
        <f>276+39+7920</f>
        <v>8235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ht="48" hidden="1">
      <c r="A23" s="105"/>
      <c r="B23" s="19">
        <v>75095</v>
      </c>
      <c r="C23" s="7" t="s">
        <v>74</v>
      </c>
      <c r="D23" s="8">
        <v>152377</v>
      </c>
      <c r="E23" s="8">
        <v>105202</v>
      </c>
      <c r="F23" s="8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s="4" customFormat="1" ht="48" hidden="1">
      <c r="A24" s="106">
        <v>752</v>
      </c>
      <c r="B24" s="26"/>
      <c r="C24" s="15" t="s">
        <v>50</v>
      </c>
      <c r="D24" s="16">
        <v>300</v>
      </c>
      <c r="E24" s="16">
        <v>299</v>
      </c>
      <c r="F24" s="16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 ht="72" hidden="1">
      <c r="A25" s="105"/>
      <c r="B25" s="19">
        <v>75212</v>
      </c>
      <c r="C25" s="7" t="s">
        <v>51</v>
      </c>
      <c r="D25" s="8">
        <v>1000</v>
      </c>
      <c r="E25" s="8">
        <v>0</v>
      </c>
      <c r="F25" s="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s="4" customFormat="1" ht="84" hidden="1">
      <c r="A26" s="106">
        <v>754</v>
      </c>
      <c r="B26" s="26"/>
      <c r="C26" s="15" t="s">
        <v>106</v>
      </c>
      <c r="D26" s="16">
        <v>2201200</v>
      </c>
      <c r="E26" s="16">
        <v>1130720</v>
      </c>
      <c r="F26" s="16">
        <f>F28+F29</f>
        <v>751230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s="5" customFormat="1" ht="17.25" hidden="1" customHeight="1">
      <c r="A27" s="105"/>
      <c r="B27" s="19">
        <v>75404</v>
      </c>
      <c r="C27" s="7" t="s">
        <v>107</v>
      </c>
      <c r="D27" s="8">
        <v>30000</v>
      </c>
      <c r="E27" s="8">
        <v>30000</v>
      </c>
      <c r="F27" s="8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spans="1:24" ht="108" hidden="1">
      <c r="A28" s="105"/>
      <c r="B28" s="19">
        <v>75411</v>
      </c>
      <c r="C28" s="7" t="s">
        <v>108</v>
      </c>
      <c r="D28" s="8">
        <v>2090222</v>
      </c>
      <c r="E28" s="8">
        <v>1063335</v>
      </c>
      <c r="F28" s="8">
        <f>6532+639846+116+103411+1168+157</f>
        <v>751230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ht="48" hidden="1">
      <c r="A29" s="105"/>
      <c r="B29" s="19">
        <v>75414</v>
      </c>
      <c r="C29" s="7" t="s">
        <v>78</v>
      </c>
      <c r="D29" s="8">
        <v>0</v>
      </c>
      <c r="E29" s="8">
        <v>0</v>
      </c>
      <c r="F29" s="8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</row>
    <row r="30" spans="1:24" s="4" customFormat="1" ht="60" hidden="1">
      <c r="A30" s="106">
        <v>757</v>
      </c>
      <c r="B30" s="26"/>
      <c r="C30" s="15" t="s">
        <v>109</v>
      </c>
      <c r="D30" s="16">
        <v>440685</v>
      </c>
      <c r="E30" s="16">
        <v>249247</v>
      </c>
      <c r="F30" s="16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4" ht="23.25" hidden="1" customHeight="1">
      <c r="A31" s="105"/>
      <c r="B31" s="19">
        <v>75702</v>
      </c>
      <c r="C31" s="7" t="s">
        <v>110</v>
      </c>
      <c r="D31" s="8">
        <v>525430</v>
      </c>
      <c r="E31" s="8">
        <v>380834</v>
      </c>
      <c r="F31" s="8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24" ht="23.25" customHeight="1">
      <c r="A32" s="105">
        <v>750</v>
      </c>
      <c r="B32" s="19"/>
      <c r="C32" s="7"/>
      <c r="D32" s="8">
        <v>9005901.25</v>
      </c>
      <c r="E32" s="8">
        <v>3454726.98</v>
      </c>
      <c r="F32" s="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ht="23.25" customHeight="1">
      <c r="A33" s="105">
        <v>754</v>
      </c>
      <c r="B33" s="19"/>
      <c r="C33" s="7"/>
      <c r="D33" s="8">
        <v>4073112</v>
      </c>
      <c r="E33" s="8">
        <v>1519163.52</v>
      </c>
      <c r="F33" s="8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4" ht="23.25" customHeight="1">
      <c r="A34" s="105">
        <v>757</v>
      </c>
      <c r="B34" s="19"/>
      <c r="C34" s="7"/>
      <c r="D34" s="8">
        <v>572174</v>
      </c>
      <c r="E34" s="8">
        <v>182285.9</v>
      </c>
      <c r="F34" s="8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4" s="4" customFormat="1" ht="60">
      <c r="A35" s="106">
        <v>801</v>
      </c>
      <c r="B35" s="26"/>
      <c r="C35" s="15" t="s">
        <v>54</v>
      </c>
      <c r="D35" s="16">
        <v>18938776.57</v>
      </c>
      <c r="E35" s="16">
        <v>7937368.3899999997</v>
      </c>
      <c r="F35" s="16">
        <f>SUM(F36:F43)</f>
        <v>3689871</v>
      </c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ht="72" hidden="1">
      <c r="A36" s="105"/>
      <c r="B36" s="19">
        <v>80102</v>
      </c>
      <c r="C36" s="7" t="s">
        <v>41</v>
      </c>
      <c r="D36" s="8">
        <v>505078</v>
      </c>
      <c r="E36" s="8">
        <v>331232</v>
      </c>
      <c r="F36" s="20">
        <f>196206+26135+37238+5208+450</f>
        <v>265237</v>
      </c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</row>
    <row r="37" spans="1:24" ht="48" hidden="1">
      <c r="A37" s="105"/>
      <c r="B37" s="19">
        <v>80111</v>
      </c>
      <c r="C37" s="7" t="s">
        <v>111</v>
      </c>
      <c r="D37" s="8">
        <v>475749</v>
      </c>
      <c r="E37" s="8">
        <v>298949</v>
      </c>
      <c r="F37" s="20">
        <f>E37-16937</f>
        <v>282012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1:24" ht="48" hidden="1">
      <c r="A38" s="105"/>
      <c r="B38" s="19">
        <v>80120</v>
      </c>
      <c r="C38" s="7" t="s">
        <v>47</v>
      </c>
      <c r="D38" s="8">
        <v>6261477</v>
      </c>
      <c r="E38" s="8">
        <f>1416382</f>
        <v>1416382</v>
      </c>
      <c r="F38" s="8">
        <f>719401+108702+140170+19592+5607</f>
        <v>993472</v>
      </c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ht="36" hidden="1">
      <c r="A39" s="105"/>
      <c r="B39" s="19">
        <v>80123</v>
      </c>
      <c r="C39" s="7" t="s">
        <v>42</v>
      </c>
      <c r="D39" s="20">
        <v>1774906</v>
      </c>
      <c r="E39" s="20">
        <v>1075369</v>
      </c>
      <c r="F39" s="20">
        <f>584273+89310+117937+15966</f>
        <v>807486</v>
      </c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spans="1:24" ht="36" hidden="1">
      <c r="A40" s="105"/>
      <c r="B40" s="19">
        <v>80130</v>
      </c>
      <c r="C40" s="7" t="s">
        <v>43</v>
      </c>
      <c r="D40" s="20">
        <v>3313174</v>
      </c>
      <c r="E40" s="20">
        <v>2096781</v>
      </c>
      <c r="F40" s="20">
        <f>916626+140181+184575+25295+11296</f>
        <v>1277973</v>
      </c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</row>
    <row r="41" spans="1:24" ht="60" hidden="1">
      <c r="A41" s="105"/>
      <c r="B41" s="19">
        <v>80134</v>
      </c>
      <c r="C41" s="7" t="s">
        <v>112</v>
      </c>
      <c r="D41" s="8">
        <v>136812</v>
      </c>
      <c r="E41" s="8">
        <v>72783</v>
      </c>
      <c r="F41" s="8">
        <f>47352+5517+9525+1297</f>
        <v>63691</v>
      </c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</row>
    <row r="42" spans="1:24" ht="12.75" hidden="1" customHeight="1">
      <c r="A42" s="105"/>
      <c r="B42" s="19">
        <v>80146</v>
      </c>
      <c r="C42" s="7" t="s">
        <v>84</v>
      </c>
      <c r="D42" s="8">
        <f>54969-11722</f>
        <v>43247</v>
      </c>
      <c r="E42" s="8">
        <v>0</v>
      </c>
      <c r="F42" s="8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</row>
    <row r="43" spans="1:24" ht="48" hidden="1">
      <c r="A43" s="105"/>
      <c r="B43" s="19">
        <v>80195</v>
      </c>
      <c r="C43" s="7" t="s">
        <v>74</v>
      </c>
      <c r="D43" s="8">
        <v>64531</v>
      </c>
      <c r="E43" s="8">
        <v>48400</v>
      </c>
      <c r="F43" s="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</row>
    <row r="44" spans="1:24" ht="84" hidden="1">
      <c r="A44" s="105"/>
      <c r="B44" s="19">
        <v>80309</v>
      </c>
      <c r="C44" s="7" t="s">
        <v>122</v>
      </c>
      <c r="D44" s="8">
        <v>49764</v>
      </c>
      <c r="E44" s="8">
        <v>20016</v>
      </c>
      <c r="F44" s="8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4" customFormat="1" ht="13.5" customHeight="1">
      <c r="A45" s="106">
        <v>851</v>
      </c>
      <c r="B45" s="26"/>
      <c r="C45" s="21" t="s">
        <v>34</v>
      </c>
      <c r="D45" s="16">
        <v>6254174.9000000004</v>
      </c>
      <c r="E45" s="16">
        <v>1195084.1399999999</v>
      </c>
      <c r="F45" s="16">
        <f>F48+F46+F47</f>
        <v>959</v>
      </c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s="5" customFormat="1" ht="12" hidden="1" customHeight="1">
      <c r="A46" s="105"/>
      <c r="B46" s="19">
        <v>85111</v>
      </c>
      <c r="C46" s="9" t="s">
        <v>85</v>
      </c>
      <c r="D46" s="8">
        <v>344145</v>
      </c>
      <c r="E46" s="8">
        <v>44135</v>
      </c>
      <c r="F46" s="8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1:24" s="5" customFormat="1" ht="12.75" hidden="1" customHeight="1">
      <c r="A47" s="105"/>
      <c r="B47" s="19">
        <v>85154</v>
      </c>
      <c r="C47" s="9" t="s">
        <v>86</v>
      </c>
      <c r="D47" s="8">
        <v>26380</v>
      </c>
      <c r="E47" s="8">
        <v>5206</v>
      </c>
      <c r="F47" s="8">
        <v>959</v>
      </c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spans="1:24" hidden="1">
      <c r="A48" s="105"/>
      <c r="B48" s="19">
        <v>85156</v>
      </c>
      <c r="C48" s="11" t="s">
        <v>87</v>
      </c>
      <c r="D48" s="8">
        <v>1168000</v>
      </c>
      <c r="E48" s="8">
        <v>433496</v>
      </c>
      <c r="F48" s="8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</row>
    <row r="49" spans="1:24" ht="48" hidden="1">
      <c r="A49" s="105"/>
      <c r="B49" s="19">
        <v>85195</v>
      </c>
      <c r="C49" s="7" t="s">
        <v>74</v>
      </c>
      <c r="D49" s="8">
        <v>2000</v>
      </c>
      <c r="E49" s="8">
        <v>0</v>
      </c>
      <c r="F49" s="8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</row>
    <row r="50" spans="1:24" s="4" customFormat="1" ht="48">
      <c r="A50" s="106">
        <v>852</v>
      </c>
      <c r="B50" s="26"/>
      <c r="C50" s="15" t="s">
        <v>35</v>
      </c>
      <c r="D50" s="16">
        <v>9336288.3599999994</v>
      </c>
      <c r="E50" s="16">
        <v>4055050.26</v>
      </c>
      <c r="F50" s="16">
        <f>F53+F56+F51+F52+F54+F57</f>
        <v>684308</v>
      </c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s="5" customFormat="1" ht="12.75" hidden="1" customHeight="1">
      <c r="A51" s="105"/>
      <c r="B51" s="19">
        <v>85201</v>
      </c>
      <c r="C51" s="7" t="s">
        <v>88</v>
      </c>
      <c r="D51" s="8">
        <v>1748865</v>
      </c>
      <c r="E51" s="8">
        <v>862369</v>
      </c>
      <c r="F51" s="8">
        <f>343035+60335+70550+10165+19956</f>
        <v>504041</v>
      </c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</row>
    <row r="52" spans="1:24" s="5" customFormat="1" ht="60" hidden="1">
      <c r="A52" s="105"/>
      <c r="B52" s="19">
        <v>85202</v>
      </c>
      <c r="C52" s="7" t="s">
        <v>89</v>
      </c>
      <c r="D52" s="8">
        <v>2496156</v>
      </c>
      <c r="E52" s="8">
        <v>1300359</v>
      </c>
      <c r="F52" s="8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1:24" ht="48" hidden="1">
      <c r="A53" s="105"/>
      <c r="B53" s="19">
        <v>85203</v>
      </c>
      <c r="C53" s="7" t="s">
        <v>90</v>
      </c>
      <c r="D53" s="8">
        <v>243003</v>
      </c>
      <c r="E53" s="20">
        <v>114960</v>
      </c>
      <c r="F53" s="20">
        <f>61257+5173+12453+1920+6180</f>
        <v>86983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</row>
    <row r="54" spans="1:24" ht="48" hidden="1">
      <c r="A54" s="105"/>
      <c r="B54" s="19">
        <v>85204</v>
      </c>
      <c r="C54" s="7" t="s">
        <v>113</v>
      </c>
      <c r="D54" s="8">
        <v>1245313</v>
      </c>
      <c r="E54" s="8">
        <v>596254</v>
      </c>
      <c r="F54" s="20">
        <f>2012+278+12897</f>
        <v>15187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</row>
    <row r="55" spans="1:24" ht="37.5" hidden="1" customHeight="1">
      <c r="A55" s="105"/>
      <c r="B55" s="19">
        <v>85212</v>
      </c>
      <c r="C55" s="7" t="s">
        <v>114</v>
      </c>
      <c r="D55" s="8">
        <v>12784</v>
      </c>
      <c r="E55" s="8">
        <v>6000</v>
      </c>
      <c r="F55" s="20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</row>
    <row r="56" spans="1:24" ht="12.75" hidden="1" customHeight="1">
      <c r="A56" s="105"/>
      <c r="B56" s="19">
        <v>85216</v>
      </c>
      <c r="C56" s="7" t="s">
        <v>91</v>
      </c>
      <c r="D56" s="8">
        <v>0</v>
      </c>
      <c r="E56" s="8">
        <v>0</v>
      </c>
      <c r="F56" s="8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ht="12.75" hidden="1" customHeight="1">
      <c r="A57" s="105"/>
      <c r="B57" s="19">
        <v>85218</v>
      </c>
      <c r="C57" s="7" t="s">
        <v>92</v>
      </c>
      <c r="D57" s="8">
        <v>273622</v>
      </c>
      <c r="E57" s="8">
        <v>125136</v>
      </c>
      <c r="F57" s="20">
        <f>53563+10904+10074+2006+1550</f>
        <v>78097</v>
      </c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1:24" ht="12.75" hidden="1" customHeight="1">
      <c r="A58" s="105"/>
      <c r="B58" s="19">
        <v>85233</v>
      </c>
      <c r="C58" s="7" t="s">
        <v>84</v>
      </c>
      <c r="D58" s="8">
        <v>4015</v>
      </c>
      <c r="E58" s="8">
        <v>0</v>
      </c>
      <c r="F58" s="20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ht="12.75" hidden="1" customHeight="1">
      <c r="A59" s="105"/>
      <c r="B59" s="19">
        <v>85295</v>
      </c>
      <c r="C59" s="7" t="s">
        <v>74</v>
      </c>
      <c r="D59" s="8">
        <v>7000</v>
      </c>
      <c r="E59" s="8">
        <v>7000</v>
      </c>
      <c r="F59" s="20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</row>
    <row r="60" spans="1:24" s="4" customFormat="1" ht="108">
      <c r="A60" s="106">
        <v>853</v>
      </c>
      <c r="B60" s="26"/>
      <c r="C60" s="15" t="s">
        <v>115</v>
      </c>
      <c r="D60" s="16">
        <v>4002471.71</v>
      </c>
      <c r="E60" s="16">
        <v>2235199.25</v>
      </c>
      <c r="F60" s="16">
        <f>F61+F62</f>
        <v>419015</v>
      </c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:24" ht="12" hidden="1" customHeight="1">
      <c r="A61" s="470"/>
      <c r="B61" s="19">
        <v>85321</v>
      </c>
      <c r="C61" s="7" t="s">
        <v>116</v>
      </c>
      <c r="D61" s="8">
        <v>71000</v>
      </c>
      <c r="E61" s="8">
        <v>32763</v>
      </c>
      <c r="F61" s="8">
        <f>12229+2910+2329+424+2484</f>
        <v>20376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1:24" ht="14.25" hidden="1" customHeight="1">
      <c r="A62" s="470"/>
      <c r="B62" s="19">
        <v>85333</v>
      </c>
      <c r="C62" s="22" t="s">
        <v>94</v>
      </c>
      <c r="D62" s="8">
        <v>873528</v>
      </c>
      <c r="E62" s="8">
        <v>451979</v>
      </c>
      <c r="F62" s="8">
        <f>280495+55514+50402+7070+5158</f>
        <v>398639</v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4" ht="14.25" hidden="1" customHeight="1">
      <c r="A63" s="470"/>
      <c r="B63" s="19">
        <v>85334</v>
      </c>
      <c r="C63" s="9" t="s">
        <v>125</v>
      </c>
      <c r="D63" s="8">
        <v>55903</v>
      </c>
      <c r="E63" s="8">
        <v>55903</v>
      </c>
      <c r="F63" s="8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4" s="4" customFormat="1" ht="12.75" customHeight="1">
      <c r="A64" s="107">
        <v>854</v>
      </c>
      <c r="B64" s="26" t="s">
        <v>12</v>
      </c>
      <c r="C64" s="23" t="s">
        <v>95</v>
      </c>
      <c r="D64" s="16">
        <v>5734995.2699999996</v>
      </c>
      <c r="E64" s="16">
        <v>2224082.5499999998</v>
      </c>
      <c r="F64" s="16">
        <f>SUM(F65:F72)</f>
        <v>901223</v>
      </c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:24" ht="96" hidden="1">
      <c r="A65" s="470"/>
      <c r="B65" s="19">
        <v>85406</v>
      </c>
      <c r="C65" s="22" t="s">
        <v>44</v>
      </c>
      <c r="D65" s="8">
        <v>465439</v>
      </c>
      <c r="E65" s="8">
        <v>284568</v>
      </c>
      <c r="F65" s="20">
        <f>170636+27331+34466+5276+1881</f>
        <v>239590</v>
      </c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1:24" ht="12.75" hidden="1" customHeight="1">
      <c r="A66" s="470"/>
      <c r="B66" s="19">
        <v>85407</v>
      </c>
      <c r="C66" s="22" t="s">
        <v>45</v>
      </c>
      <c r="D66" s="8">
        <v>313359</v>
      </c>
      <c r="E66" s="8">
        <v>185895</v>
      </c>
      <c r="F66" s="20">
        <f>80368+12184+14222+2210+43058</f>
        <v>152042</v>
      </c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ht="60" hidden="1">
      <c r="A67" s="470"/>
      <c r="B67" s="19">
        <v>85410</v>
      </c>
      <c r="C67" s="22" t="s">
        <v>46</v>
      </c>
      <c r="D67" s="20">
        <v>869259</v>
      </c>
      <c r="E67" s="8">
        <v>622117</v>
      </c>
      <c r="F67" s="20">
        <f>187642+37269+50719+6507</f>
        <v>282137</v>
      </c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ht="33" hidden="1" customHeight="1">
      <c r="A68" s="470"/>
      <c r="B68" s="19">
        <v>85412</v>
      </c>
      <c r="C68" s="10" t="s">
        <v>126</v>
      </c>
      <c r="D68" s="20">
        <v>26</v>
      </c>
      <c r="E68" s="8"/>
      <c r="F68" s="20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ht="84" hidden="1">
      <c r="A69" s="470"/>
      <c r="B69" s="19">
        <v>85415</v>
      </c>
      <c r="C69" s="7" t="s">
        <v>97</v>
      </c>
      <c r="D69" s="20">
        <v>311309</v>
      </c>
      <c r="E69" s="8">
        <v>89163</v>
      </c>
      <c r="F69" s="20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ht="84" hidden="1">
      <c r="A70" s="470"/>
      <c r="B70" s="19">
        <v>85420</v>
      </c>
      <c r="C70" s="22" t="s">
        <v>119</v>
      </c>
      <c r="D70" s="20">
        <v>737219</v>
      </c>
      <c r="E70" s="8">
        <v>365313</v>
      </c>
      <c r="F70" s="20">
        <f>192739+2379+27686+4650</f>
        <v>227454</v>
      </c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ht="12" hidden="1" customHeight="1">
      <c r="A71" s="470"/>
      <c r="B71" s="19">
        <v>85446</v>
      </c>
      <c r="C71" s="7" t="s">
        <v>84</v>
      </c>
      <c r="D71" s="20">
        <v>7707</v>
      </c>
      <c r="E71" s="8">
        <v>0</v>
      </c>
      <c r="F71" s="20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ht="48" hidden="1">
      <c r="A72" s="470"/>
      <c r="B72" s="19">
        <v>85495</v>
      </c>
      <c r="C72" s="22" t="s">
        <v>74</v>
      </c>
      <c r="D72" s="8">
        <v>11690</v>
      </c>
      <c r="E72" s="8">
        <v>8766</v>
      </c>
      <c r="F72" s="8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s="4" customFormat="1" ht="108" hidden="1">
      <c r="A73" s="106">
        <v>921</v>
      </c>
      <c r="B73" s="24"/>
      <c r="C73" s="15" t="s">
        <v>117</v>
      </c>
      <c r="D73" s="16">
        <f>D74+D75</f>
        <v>0</v>
      </c>
      <c r="E73" s="16">
        <f>E74+E75</f>
        <v>0</v>
      </c>
      <c r="F73" s="16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:24" ht="84" hidden="1">
      <c r="A74" s="470"/>
      <c r="B74" s="25">
        <v>92105</v>
      </c>
      <c r="C74" s="7" t="s">
        <v>118</v>
      </c>
      <c r="D74" s="8">
        <v>0</v>
      </c>
      <c r="E74" s="8"/>
      <c r="F74" s="8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4" ht="48" hidden="1">
      <c r="A75" s="470"/>
      <c r="B75" s="25">
        <v>92195</v>
      </c>
      <c r="C75" s="7" t="s">
        <v>74</v>
      </c>
      <c r="D75" s="8">
        <v>0</v>
      </c>
      <c r="E75" s="8">
        <v>0</v>
      </c>
      <c r="F75" s="8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 ht="30" customHeight="1">
      <c r="A76" s="106">
        <v>921</v>
      </c>
      <c r="B76" s="25"/>
      <c r="C76" s="15" t="s">
        <v>138</v>
      </c>
      <c r="D76" s="16">
        <v>216500</v>
      </c>
      <c r="E76" s="16">
        <v>39500</v>
      </c>
      <c r="F76" s="8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s="4" customFormat="1" ht="60">
      <c r="A77" s="106">
        <v>926</v>
      </c>
      <c r="B77" s="24"/>
      <c r="C77" s="15" t="s">
        <v>98</v>
      </c>
      <c r="D77" s="16">
        <v>2614707</v>
      </c>
      <c r="E77" s="16">
        <v>87556.51</v>
      </c>
      <c r="F77" s="16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:24" ht="96" hidden="1">
      <c r="A78" s="105"/>
      <c r="B78" s="25">
        <v>92605</v>
      </c>
      <c r="C78" s="7" t="s">
        <v>99</v>
      </c>
      <c r="D78" s="8">
        <v>51000</v>
      </c>
      <c r="E78" s="33">
        <v>25029</v>
      </c>
      <c r="F78" s="8">
        <v>0</v>
      </c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1:24">
      <c r="A79" s="108"/>
      <c r="D79" s="29">
        <f>D77+D76+D64+D60+D50+D45+D35+D34+D33+D32+D13+D11+D9+D8+D5+D2</f>
        <v>70458585.49000001</v>
      </c>
      <c r="E79" s="29">
        <f>E77+E76+E64+E60+E50+E45+E35+E34+E33+E32+E13+E11+E9+E8+E5+E2</f>
        <v>25005528.349999998</v>
      </c>
    </row>
    <row r="80" spans="1:24">
      <c r="A80" s="108"/>
    </row>
    <row r="81" spans="1:1">
      <c r="A81" s="108"/>
    </row>
    <row r="92" spans="1:1" ht="74.25" customHeight="1"/>
    <row r="93" spans="1:1" ht="23.25" customHeight="1"/>
    <row r="102" spans="1:6" ht="45" customHeight="1"/>
    <row r="109" spans="1:6" ht="3" customHeight="1"/>
    <row r="110" spans="1:6" ht="15" hidden="1">
      <c r="A110" s="469"/>
      <c r="B110" s="469"/>
      <c r="C110" s="469"/>
      <c r="D110" s="469"/>
      <c r="E110" s="469"/>
      <c r="F110" s="469"/>
    </row>
    <row r="111" spans="1:6" hidden="1"/>
    <row r="112" spans="1:6" hidden="1"/>
    <row r="117" ht="30.75" customHeight="1"/>
    <row r="118" hidden="1"/>
    <row r="119" hidden="1"/>
    <row r="120" hidden="1"/>
    <row r="121" hidden="1"/>
    <row r="122" hidden="1"/>
    <row r="123" hidden="1"/>
    <row r="124" hidden="1"/>
    <row r="125" hidden="1"/>
  </sheetData>
  <mergeCells count="4">
    <mergeCell ref="A110:F110"/>
    <mergeCell ref="A61:A63"/>
    <mergeCell ref="A65:A72"/>
    <mergeCell ref="A74:A75"/>
  </mergeCells>
  <phoneticPr fontId="0" type="noConversion"/>
  <pageMargins left="2.0833333333333332E-2" right="0.36458333333333331" top="0.59" bottom="0.33" header="0.36" footer="0.18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86"/>
  <sheetViews>
    <sheetView view="pageLayout" topLeftCell="A4" workbookViewId="0">
      <selection activeCell="D28" sqref="D28"/>
    </sheetView>
  </sheetViews>
  <sheetFormatPr defaultRowHeight="12.75"/>
  <cols>
    <col min="1" max="1" width="4.85546875" style="44" customWidth="1"/>
    <col min="2" max="2" width="6.42578125" style="44" customWidth="1"/>
    <col min="3" max="3" width="7.28515625" style="44" customWidth="1"/>
    <col min="4" max="4" width="6.28515625" style="44" customWidth="1"/>
    <col min="5" max="5" width="29.5703125" style="44" customWidth="1"/>
    <col min="6" max="6" width="11.85546875" style="44" customWidth="1"/>
    <col min="7" max="7" width="12.140625" style="44" customWidth="1"/>
    <col min="8" max="16384" width="9.140625" style="44"/>
  </cols>
  <sheetData>
    <row r="1" spans="1:9">
      <c r="G1" s="472" t="s">
        <v>283</v>
      </c>
      <c r="H1" s="472"/>
    </row>
    <row r="4" spans="1:9" ht="15.75" customHeight="1">
      <c r="A4" s="471" t="s">
        <v>178</v>
      </c>
      <c r="B4" s="471"/>
      <c r="C4" s="471"/>
      <c r="D4" s="471"/>
      <c r="E4" s="471"/>
      <c r="F4" s="471"/>
      <c r="G4" s="471"/>
      <c r="H4" s="471"/>
    </row>
    <row r="5" spans="1:9" ht="15.75" customHeight="1">
      <c r="A5" s="471" t="s">
        <v>179</v>
      </c>
      <c r="B5" s="471"/>
      <c r="C5" s="471"/>
      <c r="D5" s="471"/>
      <c r="E5" s="471"/>
      <c r="F5" s="471"/>
      <c r="G5" s="471"/>
      <c r="H5" s="471"/>
    </row>
    <row r="6" spans="1:9" ht="15.75" customHeight="1">
      <c r="A6" s="471" t="s">
        <v>315</v>
      </c>
      <c r="B6" s="471"/>
      <c r="C6" s="471"/>
      <c r="D6" s="471"/>
      <c r="E6" s="471"/>
      <c r="F6" s="471"/>
      <c r="G6" s="471"/>
      <c r="H6" s="471"/>
    </row>
    <row r="7" spans="1:9" ht="15.75">
      <c r="A7" s="125"/>
      <c r="B7" s="125"/>
      <c r="C7" s="125"/>
      <c r="D7" s="125"/>
      <c r="E7" s="126"/>
      <c r="F7" s="113"/>
    </row>
    <row r="8" spans="1:9" ht="15.75" customHeight="1">
      <c r="A8" s="286"/>
      <c r="B8" s="286"/>
      <c r="C8" s="286"/>
      <c r="D8" s="286"/>
      <c r="E8" s="286"/>
      <c r="G8" s="287" t="s">
        <v>165</v>
      </c>
    </row>
    <row r="9" spans="1:9" ht="25.5">
      <c r="A9" s="291" t="s">
        <v>176</v>
      </c>
      <c r="B9" s="291" t="s">
        <v>0</v>
      </c>
      <c r="C9" s="291" t="s">
        <v>8</v>
      </c>
      <c r="D9" s="291" t="s">
        <v>63</v>
      </c>
      <c r="E9" s="291" t="s">
        <v>266</v>
      </c>
      <c r="F9" s="292" t="s">
        <v>282</v>
      </c>
      <c r="G9" s="293" t="s">
        <v>281</v>
      </c>
      <c r="H9" s="293" t="s">
        <v>137</v>
      </c>
    </row>
    <row r="10" spans="1:9">
      <c r="A10" s="288">
        <v>1</v>
      </c>
      <c r="B10" s="288">
        <v>2</v>
      </c>
      <c r="C10" s="288">
        <v>3</v>
      </c>
      <c r="D10" s="288">
        <v>4</v>
      </c>
      <c r="E10" s="288">
        <v>5</v>
      </c>
      <c r="F10" s="288">
        <v>6</v>
      </c>
      <c r="G10" s="288">
        <v>7</v>
      </c>
      <c r="H10" s="288">
        <v>8</v>
      </c>
    </row>
    <row r="11" spans="1:9" ht="27" customHeight="1">
      <c r="A11" s="289">
        <v>1</v>
      </c>
      <c r="B11" s="289">
        <v>801</v>
      </c>
      <c r="C11" s="289">
        <v>80120</v>
      </c>
      <c r="D11" s="289">
        <v>2540</v>
      </c>
      <c r="E11" s="290" t="s">
        <v>267</v>
      </c>
      <c r="F11" s="295">
        <v>52584</v>
      </c>
      <c r="G11" s="294">
        <v>20991.599999999999</v>
      </c>
      <c r="H11" s="46">
        <f>G11/F11*100</f>
        <v>39.920127795527158</v>
      </c>
      <c r="I11" s="188"/>
    </row>
    <row r="12" spans="1:9" ht="26.25" customHeight="1">
      <c r="A12" s="289">
        <v>2</v>
      </c>
      <c r="B12" s="289">
        <v>801</v>
      </c>
      <c r="C12" s="289">
        <v>80120</v>
      </c>
      <c r="D12" s="289">
        <v>2540</v>
      </c>
      <c r="E12" s="290" t="s">
        <v>268</v>
      </c>
      <c r="F12" s="295">
        <v>26741.599999999999</v>
      </c>
      <c r="G12" s="294">
        <v>0</v>
      </c>
      <c r="H12" s="46">
        <f t="shared" ref="H12:H23" si="0">G12/F12*100</f>
        <v>0</v>
      </c>
    </row>
    <row r="13" spans="1:9" ht="27" customHeight="1">
      <c r="A13" s="289">
        <v>3</v>
      </c>
      <c r="B13" s="289">
        <v>801</v>
      </c>
      <c r="C13" s="289">
        <v>80120</v>
      </c>
      <c r="D13" s="289">
        <v>2540</v>
      </c>
      <c r="E13" s="290" t="s">
        <v>269</v>
      </c>
      <c r="F13" s="295">
        <v>314924.40000000002</v>
      </c>
      <c r="G13" s="294">
        <v>156375.45000000001</v>
      </c>
      <c r="H13" s="46">
        <f t="shared" si="0"/>
        <v>49.654917180123235</v>
      </c>
    </row>
    <row r="14" spans="1:9" s="188" customFormat="1" ht="24.75" customHeight="1">
      <c r="A14" s="289">
        <v>4</v>
      </c>
      <c r="B14" s="289">
        <v>801</v>
      </c>
      <c r="C14" s="289">
        <v>80120</v>
      </c>
      <c r="D14" s="289">
        <v>2540</v>
      </c>
      <c r="E14" s="290" t="s">
        <v>270</v>
      </c>
      <c r="F14" s="295">
        <v>210336</v>
      </c>
      <c r="G14" s="294">
        <v>109606.14</v>
      </c>
      <c r="H14" s="46">
        <f t="shared" si="0"/>
        <v>52.110023961661348</v>
      </c>
      <c r="I14" s="44"/>
    </row>
    <row r="15" spans="1:9" ht="25.5" customHeight="1">
      <c r="A15" s="289">
        <v>5</v>
      </c>
      <c r="B15" s="289">
        <v>801</v>
      </c>
      <c r="C15" s="289">
        <v>80120</v>
      </c>
      <c r="D15" s="289">
        <v>2540</v>
      </c>
      <c r="E15" s="290" t="s">
        <v>271</v>
      </c>
      <c r="F15" s="295">
        <v>135216</v>
      </c>
      <c r="G15" s="294">
        <v>57352.05</v>
      </c>
      <c r="H15" s="46">
        <f t="shared" si="0"/>
        <v>42.415135782747605</v>
      </c>
    </row>
    <row r="16" spans="1:9" s="243" customFormat="1" ht="25.5" customHeight="1">
      <c r="A16" s="289">
        <v>6</v>
      </c>
      <c r="B16" s="289">
        <v>801</v>
      </c>
      <c r="C16" s="289">
        <v>80120</v>
      </c>
      <c r="D16" s="289">
        <v>2540</v>
      </c>
      <c r="E16" s="290" t="s">
        <v>317</v>
      </c>
      <c r="F16" s="295">
        <v>209949.6</v>
      </c>
      <c r="G16" s="294">
        <v>63362.52</v>
      </c>
      <c r="H16" s="46">
        <f t="shared" si="0"/>
        <v>30.179871740646323</v>
      </c>
    </row>
    <row r="17" spans="1:9" ht="25.5">
      <c r="A17" s="289">
        <v>7</v>
      </c>
      <c r="B17" s="289">
        <v>801</v>
      </c>
      <c r="C17" s="289">
        <v>80123</v>
      </c>
      <c r="D17" s="289">
        <v>2540</v>
      </c>
      <c r="E17" s="290" t="s">
        <v>272</v>
      </c>
      <c r="F17" s="295">
        <v>192528</v>
      </c>
      <c r="G17" s="294">
        <v>77135.8</v>
      </c>
      <c r="H17" s="46">
        <f t="shared" si="0"/>
        <v>40.06471785922048</v>
      </c>
      <c r="I17" s="188"/>
    </row>
    <row r="18" spans="1:9" ht="25.5">
      <c r="A18" s="289">
        <v>8</v>
      </c>
      <c r="B18" s="289">
        <v>801</v>
      </c>
      <c r="C18" s="289">
        <v>80123</v>
      </c>
      <c r="D18" s="289">
        <v>2540</v>
      </c>
      <c r="E18" s="290" t="s">
        <v>163</v>
      </c>
      <c r="F18" s="295">
        <v>31772</v>
      </c>
      <c r="G18" s="294">
        <v>22919.52</v>
      </c>
      <c r="H18" s="46">
        <f t="shared" si="0"/>
        <v>72.137479541734862</v>
      </c>
      <c r="I18" s="191"/>
    </row>
    <row r="19" spans="1:9">
      <c r="A19" s="289">
        <v>9</v>
      </c>
      <c r="B19" s="289">
        <v>801</v>
      </c>
      <c r="C19" s="289">
        <v>80130</v>
      </c>
      <c r="D19" s="289">
        <v>2540</v>
      </c>
      <c r="E19" s="290" t="s">
        <v>162</v>
      </c>
      <c r="F19" s="295">
        <v>148000</v>
      </c>
      <c r="G19" s="294">
        <v>61236.38</v>
      </c>
      <c r="H19" s="46">
        <f t="shared" si="0"/>
        <v>41.375932432432435</v>
      </c>
    </row>
    <row r="20" spans="1:9" s="188" customFormat="1" ht="25.5">
      <c r="A20" s="289">
        <v>10</v>
      </c>
      <c r="B20" s="289">
        <v>801</v>
      </c>
      <c r="C20" s="289">
        <v>80130</v>
      </c>
      <c r="D20" s="289">
        <v>2540</v>
      </c>
      <c r="E20" s="290" t="s">
        <v>164</v>
      </c>
      <c r="F20" s="295">
        <v>202550</v>
      </c>
      <c r="G20" s="294">
        <v>97915.24</v>
      </c>
      <c r="H20" s="46">
        <f t="shared" si="0"/>
        <v>48.341268822512959</v>
      </c>
      <c r="I20" s="44"/>
    </row>
    <row r="21" spans="1:9" s="191" customFormat="1" ht="38.25">
      <c r="A21" s="289">
        <v>11</v>
      </c>
      <c r="B21" s="289">
        <v>801</v>
      </c>
      <c r="C21" s="289">
        <v>80144</v>
      </c>
      <c r="D21" s="289">
        <v>2540</v>
      </c>
      <c r="E21" s="290" t="s">
        <v>206</v>
      </c>
      <c r="F21" s="295">
        <v>305220</v>
      </c>
      <c r="G21" s="294">
        <v>83751.100000000006</v>
      </c>
      <c r="H21" s="46">
        <f t="shared" si="0"/>
        <v>27.439584561955311</v>
      </c>
      <c r="I21" s="113"/>
    </row>
    <row r="22" spans="1:9" ht="27.75" customHeight="1">
      <c r="A22" s="289">
        <v>12</v>
      </c>
      <c r="B22" s="289">
        <v>854</v>
      </c>
      <c r="C22" s="289">
        <v>85419</v>
      </c>
      <c r="D22" s="289">
        <v>2540</v>
      </c>
      <c r="E22" s="290" t="s">
        <v>177</v>
      </c>
      <c r="F22" s="295">
        <v>1264100</v>
      </c>
      <c r="G22" s="294">
        <v>634748</v>
      </c>
      <c r="H22" s="46">
        <f t="shared" si="0"/>
        <v>50.21343248160747</v>
      </c>
      <c r="I22" s="113"/>
    </row>
    <row r="23" spans="1:9">
      <c r="A23" s="473" t="s">
        <v>160</v>
      </c>
      <c r="B23" s="473"/>
      <c r="C23" s="473"/>
      <c r="D23" s="473"/>
      <c r="E23" s="473"/>
      <c r="F23" s="296">
        <f>SUM(F11:F22)</f>
        <v>3093921.6</v>
      </c>
      <c r="G23" s="297">
        <f>SUM(G11:G22)</f>
        <v>1385393.7999999998</v>
      </c>
      <c r="H23" s="131">
        <f t="shared" si="0"/>
        <v>44.777921974493459</v>
      </c>
    </row>
    <row r="24" spans="1:9" ht="15">
      <c r="A24" s="284"/>
      <c r="B24"/>
      <c r="C24"/>
      <c r="D24"/>
      <c r="E24"/>
      <c r="F24"/>
    </row>
    <row r="25" spans="1:9" ht="15">
      <c r="A25" s="284"/>
      <c r="B25"/>
      <c r="C25"/>
      <c r="D25"/>
      <c r="E25"/>
      <c r="F25"/>
    </row>
    <row r="26" spans="1:9" ht="15">
      <c r="A26" s="284"/>
      <c r="B26"/>
      <c r="C26"/>
      <c r="D26"/>
      <c r="E26"/>
      <c r="F26"/>
    </row>
    <row r="27" spans="1:9" ht="15">
      <c r="A27" s="284"/>
      <c r="B27"/>
      <c r="C27"/>
      <c r="D27"/>
      <c r="E27"/>
      <c r="F27"/>
    </row>
    <row r="28" spans="1:9" ht="15">
      <c r="A28" s="284"/>
      <c r="B28"/>
      <c r="C28"/>
      <c r="D28"/>
      <c r="E28"/>
      <c r="F28"/>
    </row>
    <row r="29" spans="1:9" ht="15">
      <c r="A29" s="284"/>
      <c r="B29"/>
      <c r="C29"/>
      <c r="D29"/>
      <c r="E29"/>
      <c r="F29"/>
    </row>
    <row r="30" spans="1:9" ht="15">
      <c r="A30" s="284"/>
      <c r="B30"/>
      <c r="C30"/>
      <c r="D30"/>
      <c r="E30"/>
      <c r="F30"/>
    </row>
    <row r="31" spans="1:9" ht="15">
      <c r="A31" s="284"/>
      <c r="B31"/>
      <c r="C31"/>
      <c r="D31"/>
      <c r="E31"/>
      <c r="F31"/>
    </row>
    <row r="32" spans="1:9" ht="15">
      <c r="A32" s="284"/>
      <c r="B32"/>
      <c r="C32"/>
      <c r="D32"/>
      <c r="E32"/>
      <c r="F32"/>
    </row>
    <row r="33" spans="1:6" ht="15">
      <c r="A33" s="284"/>
      <c r="B33"/>
      <c r="C33"/>
      <c r="D33"/>
      <c r="E33"/>
      <c r="F33"/>
    </row>
    <row r="34" spans="1:6" ht="15">
      <c r="A34" s="284"/>
      <c r="B34"/>
      <c r="C34"/>
      <c r="D34"/>
      <c r="E34"/>
      <c r="F34"/>
    </row>
    <row r="35" spans="1:6" ht="15">
      <c r="A35" s="284"/>
      <c r="B35"/>
      <c r="C35"/>
      <c r="D35"/>
      <c r="E35"/>
      <c r="F35"/>
    </row>
    <row r="36" spans="1:6" ht="15">
      <c r="A36" s="284"/>
      <c r="B36"/>
      <c r="C36"/>
      <c r="D36"/>
      <c r="E36"/>
      <c r="F36"/>
    </row>
    <row r="37" spans="1:6">
      <c r="F37"/>
    </row>
    <row r="38" spans="1:6">
      <c r="F38"/>
    </row>
    <row r="39" spans="1:6">
      <c r="F39"/>
    </row>
    <row r="40" spans="1:6">
      <c r="F40"/>
    </row>
    <row r="41" spans="1:6">
      <c r="F41"/>
    </row>
    <row r="42" spans="1:6">
      <c r="F42"/>
    </row>
    <row r="43" spans="1:6">
      <c r="F43"/>
    </row>
    <row r="44" spans="1:6">
      <c r="F44"/>
    </row>
    <row r="45" spans="1:6">
      <c r="F45"/>
    </row>
    <row r="46" spans="1:6">
      <c r="F46"/>
    </row>
    <row r="47" spans="1:6">
      <c r="F47"/>
    </row>
    <row r="48" spans="1:6">
      <c r="F48"/>
    </row>
    <row r="49" spans="1:6" ht="15.75" customHeight="1">
      <c r="F49"/>
    </row>
    <row r="50" spans="1:6" ht="15.75" customHeight="1">
      <c r="F50"/>
    </row>
    <row r="51" spans="1:6">
      <c r="F51"/>
    </row>
    <row r="52" spans="1:6">
      <c r="F52"/>
    </row>
    <row r="53" spans="1:6">
      <c r="F53"/>
    </row>
    <row r="54" spans="1:6" ht="15">
      <c r="A54" s="284"/>
      <c r="B54"/>
      <c r="C54"/>
      <c r="D54"/>
      <c r="E54"/>
      <c r="F54"/>
    </row>
    <row r="55" spans="1:6" ht="15">
      <c r="A55" s="284"/>
      <c r="B55"/>
      <c r="C55"/>
      <c r="D55"/>
      <c r="E55"/>
      <c r="F55"/>
    </row>
    <row r="56" spans="1:6" ht="15">
      <c r="A56" s="284"/>
      <c r="B56"/>
      <c r="C56"/>
      <c r="D56"/>
      <c r="E56"/>
      <c r="F56"/>
    </row>
    <row r="57" spans="1:6" ht="15">
      <c r="A57" s="284"/>
      <c r="B57"/>
      <c r="C57"/>
      <c r="D57"/>
      <c r="E57"/>
      <c r="F57"/>
    </row>
    <row r="58" spans="1:6" ht="15">
      <c r="A58" s="284"/>
      <c r="B58"/>
      <c r="C58"/>
      <c r="D58"/>
      <c r="E58"/>
      <c r="F58"/>
    </row>
    <row r="59" spans="1:6" ht="15">
      <c r="A59" s="284"/>
      <c r="B59"/>
      <c r="C59"/>
      <c r="D59"/>
      <c r="E59"/>
      <c r="F59"/>
    </row>
    <row r="60" spans="1:6" ht="15">
      <c r="A60" s="284"/>
      <c r="B60"/>
      <c r="C60"/>
      <c r="D60"/>
      <c r="E60"/>
      <c r="F60"/>
    </row>
    <row r="61" spans="1:6" ht="15">
      <c r="A61" s="284"/>
      <c r="B61"/>
      <c r="C61"/>
      <c r="D61"/>
      <c r="E61"/>
      <c r="F61"/>
    </row>
    <row r="62" spans="1:6" ht="15">
      <c r="A62" s="284"/>
      <c r="B62"/>
      <c r="C62"/>
      <c r="D62"/>
      <c r="E62"/>
      <c r="F62"/>
    </row>
    <row r="63" spans="1:6" ht="15">
      <c r="A63" s="284"/>
      <c r="B63"/>
      <c r="C63"/>
      <c r="D63"/>
      <c r="E63"/>
      <c r="F63"/>
    </row>
    <row r="64" spans="1:6" ht="15">
      <c r="A64" s="284"/>
      <c r="B64"/>
      <c r="C64"/>
      <c r="D64"/>
      <c r="E64"/>
      <c r="F64"/>
    </row>
    <row r="65" spans="1:6" ht="15">
      <c r="A65" s="284"/>
      <c r="B65"/>
      <c r="C65"/>
      <c r="D65"/>
      <c r="E65"/>
      <c r="F65"/>
    </row>
    <row r="66" spans="1:6" ht="15">
      <c r="A66" s="284"/>
      <c r="B66"/>
      <c r="C66"/>
      <c r="D66"/>
      <c r="E66"/>
      <c r="F66"/>
    </row>
    <row r="67" spans="1:6" ht="15">
      <c r="A67" s="284"/>
      <c r="B67"/>
      <c r="C67"/>
      <c r="D67"/>
      <c r="E67"/>
      <c r="F67"/>
    </row>
    <row r="68" spans="1:6" ht="15">
      <c r="A68" s="284"/>
      <c r="B68"/>
      <c r="C68"/>
      <c r="D68"/>
      <c r="E68"/>
      <c r="F68"/>
    </row>
    <row r="69" spans="1:6" ht="15">
      <c r="A69" s="284"/>
      <c r="B69"/>
      <c r="C69"/>
      <c r="D69"/>
      <c r="E69"/>
      <c r="F69"/>
    </row>
    <row r="70" spans="1:6" ht="15">
      <c r="A70" s="284"/>
      <c r="B70"/>
      <c r="C70"/>
      <c r="D70"/>
      <c r="E70"/>
      <c r="F70"/>
    </row>
    <row r="84" ht="15.75" customHeight="1"/>
    <row r="85" ht="15.75" customHeight="1"/>
    <row r="86" ht="15.75" customHeight="1"/>
  </sheetData>
  <mergeCells count="5">
    <mergeCell ref="A4:H4"/>
    <mergeCell ref="A5:H5"/>
    <mergeCell ref="A6:H6"/>
    <mergeCell ref="G1:H1"/>
    <mergeCell ref="A23:E23"/>
  </mergeCells>
  <pageMargins left="0.7" right="0.32" top="0.75" bottom="0.75" header="0.3" footer="0.3"/>
  <pageSetup paperSize="9" orientation="portrait" r:id="rId1"/>
  <headerFooter>
    <oddFooter>&amp;C&amp;"Times New (W1),Normalny"Tabela Nr 5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H88"/>
  <sheetViews>
    <sheetView view="pageLayout" topLeftCell="A13" workbookViewId="0">
      <selection activeCell="F39" sqref="F39:F40"/>
    </sheetView>
  </sheetViews>
  <sheetFormatPr defaultRowHeight="12.75"/>
  <cols>
    <col min="1" max="1" width="3.85546875" style="44" customWidth="1"/>
    <col min="2" max="2" width="5.28515625" style="44" customWidth="1"/>
    <col min="3" max="3" width="6.28515625" style="44" customWidth="1"/>
    <col min="4" max="4" width="5.28515625" style="44" customWidth="1"/>
    <col min="5" max="5" width="31.140625" style="44" customWidth="1"/>
    <col min="6" max="6" width="12" style="44" customWidth="1"/>
    <col min="7" max="7" width="14.42578125" style="44" customWidth="1"/>
    <col min="8" max="8" width="6.85546875" style="44" customWidth="1"/>
    <col min="9" max="16384" width="9.140625" style="44"/>
  </cols>
  <sheetData>
    <row r="1" spans="1:8" ht="15.75" customHeight="1">
      <c r="G1" s="472" t="s">
        <v>285</v>
      </c>
      <c r="H1" s="472"/>
    </row>
    <row r="2" spans="1:8" ht="15.75" customHeight="1">
      <c r="A2" s="476"/>
      <c r="B2" s="476"/>
      <c r="C2" s="476"/>
      <c r="D2" s="476"/>
      <c r="E2" s="476"/>
      <c r="F2" s="476"/>
    </row>
    <row r="3" spans="1:8" ht="15.75" customHeight="1">
      <c r="A3" s="474" t="s">
        <v>273</v>
      </c>
      <c r="B3" s="474"/>
      <c r="C3" s="474"/>
      <c r="D3" s="474"/>
      <c r="E3" s="474"/>
      <c r="F3" s="474"/>
      <c r="G3" s="474"/>
      <c r="H3" s="474"/>
    </row>
    <row r="4" spans="1:8" ht="15.75" customHeight="1">
      <c r="A4" s="474" t="s">
        <v>180</v>
      </c>
      <c r="B4" s="474"/>
      <c r="C4" s="474"/>
      <c r="D4" s="474"/>
      <c r="E4" s="474"/>
      <c r="F4" s="474"/>
      <c r="G4" s="474"/>
      <c r="H4" s="474"/>
    </row>
    <row r="5" spans="1:8" ht="15.75" customHeight="1">
      <c r="A5" s="474" t="s">
        <v>183</v>
      </c>
      <c r="B5" s="474"/>
      <c r="C5" s="474"/>
      <c r="D5" s="474"/>
      <c r="E5" s="474"/>
      <c r="F5" s="474"/>
      <c r="G5" s="474"/>
      <c r="H5" s="474"/>
    </row>
    <row r="6" spans="1:8" s="113" customFormat="1" ht="15.75" customHeight="1">
      <c r="A6" s="474" t="s">
        <v>326</v>
      </c>
      <c r="B6" s="474"/>
      <c r="C6" s="474"/>
      <c r="D6" s="474"/>
      <c r="E6" s="474"/>
      <c r="F6" s="474"/>
      <c r="G6" s="474"/>
      <c r="H6" s="474"/>
    </row>
    <row r="7" spans="1:8" ht="15">
      <c r="A7" s="286"/>
      <c r="B7" s="286"/>
      <c r="C7" s="286"/>
      <c r="D7" s="286"/>
      <c r="E7" s="286"/>
      <c r="G7" s="287" t="s">
        <v>165</v>
      </c>
    </row>
    <row r="8" spans="1:8" ht="25.5">
      <c r="A8" s="291" t="s">
        <v>176</v>
      </c>
      <c r="B8" s="291" t="s">
        <v>0</v>
      </c>
      <c r="C8" s="291" t="s">
        <v>8</v>
      </c>
      <c r="D8" s="291" t="s">
        <v>63</v>
      </c>
      <c r="E8" s="291" t="s">
        <v>181</v>
      </c>
      <c r="F8" s="292" t="s">
        <v>282</v>
      </c>
      <c r="G8" s="293" t="s">
        <v>281</v>
      </c>
      <c r="H8" s="298" t="s">
        <v>137</v>
      </c>
    </row>
    <row r="9" spans="1:8">
      <c r="A9" s="299">
        <v>1</v>
      </c>
      <c r="B9" s="299">
        <v>2</v>
      </c>
      <c r="C9" s="299">
        <v>3</v>
      </c>
      <c r="D9" s="299">
        <v>4</v>
      </c>
      <c r="E9" s="299">
        <v>5</v>
      </c>
      <c r="F9" s="299">
        <v>6</v>
      </c>
      <c r="G9" s="299">
        <v>7</v>
      </c>
      <c r="H9" s="130">
        <v>8</v>
      </c>
    </row>
    <row r="10" spans="1:8" s="243" customFormat="1" ht="38.25">
      <c r="A10" s="340">
        <v>1</v>
      </c>
      <c r="B10" s="340">
        <v>600</v>
      </c>
      <c r="C10" s="340">
        <v>60014</v>
      </c>
      <c r="D10" s="340">
        <v>2310</v>
      </c>
      <c r="E10" s="381" t="s">
        <v>328</v>
      </c>
      <c r="F10" s="380">
        <v>80000</v>
      </c>
      <c r="G10" s="380">
        <v>80000</v>
      </c>
      <c r="H10" s="382">
        <f t="shared" ref="H10" si="0">G10/F10*100</f>
        <v>100</v>
      </c>
    </row>
    <row r="11" spans="1:8" s="243" customFormat="1" ht="25.5">
      <c r="A11" s="340">
        <v>2</v>
      </c>
      <c r="B11" s="340">
        <v>851</v>
      </c>
      <c r="C11" s="340">
        <v>85111</v>
      </c>
      <c r="D11" s="340">
        <v>6220</v>
      </c>
      <c r="E11" s="357" t="s">
        <v>329</v>
      </c>
      <c r="F11" s="358">
        <v>170000</v>
      </c>
      <c r="G11" s="295">
        <v>20000</v>
      </c>
      <c r="H11" s="384">
        <f>G11/F11*100</f>
        <v>11.76470588235294</v>
      </c>
    </row>
    <row r="12" spans="1:8" ht="53.25" customHeight="1">
      <c r="A12" s="340">
        <v>3</v>
      </c>
      <c r="B12" s="340">
        <v>852</v>
      </c>
      <c r="C12" s="340">
        <v>85201</v>
      </c>
      <c r="D12" s="340">
        <v>2320</v>
      </c>
      <c r="E12" s="290" t="s">
        <v>284</v>
      </c>
      <c r="F12" s="295">
        <v>183359.88</v>
      </c>
      <c r="G12" s="294">
        <v>89690.11</v>
      </c>
      <c r="H12" s="382">
        <f>G12/F12*100</f>
        <v>48.914795319455919</v>
      </c>
    </row>
    <row r="13" spans="1:8" ht="51">
      <c r="A13" s="340">
        <v>4</v>
      </c>
      <c r="B13" s="340">
        <v>852</v>
      </c>
      <c r="C13" s="340">
        <v>85204</v>
      </c>
      <c r="D13" s="340">
        <v>2320</v>
      </c>
      <c r="E13" s="290" t="s">
        <v>182</v>
      </c>
      <c r="F13" s="295">
        <v>164263.48000000001</v>
      </c>
      <c r="G13" s="294">
        <v>85858.559999999998</v>
      </c>
      <c r="H13" s="382">
        <f t="shared" ref="H13:H15" si="1">G13/F13*100</f>
        <v>52.268806188691485</v>
      </c>
    </row>
    <row r="14" spans="1:8" ht="25.5">
      <c r="A14" s="340">
        <v>5</v>
      </c>
      <c r="B14" s="340">
        <v>853</v>
      </c>
      <c r="C14" s="340">
        <v>85311</v>
      </c>
      <c r="D14" s="340">
        <v>2310</v>
      </c>
      <c r="E14" s="290" t="s">
        <v>274</v>
      </c>
      <c r="F14" s="295">
        <v>44520</v>
      </c>
      <c r="G14" s="294">
        <v>44520</v>
      </c>
      <c r="H14" s="382">
        <f t="shared" si="1"/>
        <v>100</v>
      </c>
    </row>
    <row r="15" spans="1:8" s="243" customFormat="1" ht="25.5">
      <c r="A15" s="340">
        <v>6</v>
      </c>
      <c r="B15" s="340">
        <v>853</v>
      </c>
      <c r="C15" s="340">
        <v>85311</v>
      </c>
      <c r="D15" s="340">
        <v>2310</v>
      </c>
      <c r="E15" s="290" t="s">
        <v>327</v>
      </c>
      <c r="F15" s="295">
        <v>44520</v>
      </c>
      <c r="G15" s="294">
        <v>44520</v>
      </c>
      <c r="H15" s="382">
        <f t="shared" si="1"/>
        <v>100</v>
      </c>
    </row>
    <row r="16" spans="1:8">
      <c r="A16" s="477">
        <v>7</v>
      </c>
      <c r="B16" s="477">
        <v>853</v>
      </c>
      <c r="C16" s="477">
        <v>85395</v>
      </c>
      <c r="D16" s="478" t="s">
        <v>276</v>
      </c>
      <c r="E16" s="290" t="s">
        <v>277</v>
      </c>
      <c r="F16" s="295">
        <v>276179.40000000002</v>
      </c>
      <c r="G16" s="294">
        <v>209990.3</v>
      </c>
      <c r="H16" s="382">
        <f t="shared" ref="H16:H21" si="2">G16/F16*100</f>
        <v>76.03401991604008</v>
      </c>
    </row>
    <row r="17" spans="1:8">
      <c r="A17" s="477"/>
      <c r="B17" s="477"/>
      <c r="C17" s="477"/>
      <c r="D17" s="478"/>
      <c r="E17" s="290" t="s">
        <v>278</v>
      </c>
      <c r="F17" s="295">
        <v>177592.5</v>
      </c>
      <c r="G17" s="294">
        <v>132322.01999999999</v>
      </c>
      <c r="H17" s="382">
        <f t="shared" si="2"/>
        <v>74.508788377887569</v>
      </c>
    </row>
    <row r="18" spans="1:8">
      <c r="A18" s="477"/>
      <c r="B18" s="477"/>
      <c r="C18" s="477"/>
      <c r="D18" s="478"/>
      <c r="E18" s="290" t="s">
        <v>279</v>
      </c>
      <c r="F18" s="295">
        <v>171890.1</v>
      </c>
      <c r="G18" s="294">
        <v>121996.1</v>
      </c>
      <c r="H18" s="382">
        <f t="shared" si="2"/>
        <v>70.973313762689074</v>
      </c>
    </row>
    <row r="19" spans="1:8">
      <c r="A19" s="477"/>
      <c r="B19" s="477"/>
      <c r="C19" s="477"/>
      <c r="D19" s="478"/>
      <c r="E19" s="290" t="s">
        <v>280</v>
      </c>
      <c r="F19" s="295">
        <v>207491.4</v>
      </c>
      <c r="G19" s="294">
        <v>158404.84</v>
      </c>
      <c r="H19" s="382">
        <f t="shared" si="2"/>
        <v>76.34284601675057</v>
      </c>
    </row>
    <row r="20" spans="1:8" s="243" customFormat="1">
      <c r="A20" s="340">
        <v>8</v>
      </c>
      <c r="B20" s="340">
        <v>921</v>
      </c>
      <c r="C20" s="340">
        <v>92116</v>
      </c>
      <c r="D20" s="340">
        <v>2310</v>
      </c>
      <c r="E20" s="290" t="s">
        <v>275</v>
      </c>
      <c r="F20" s="295">
        <v>57800</v>
      </c>
      <c r="G20" s="294">
        <v>28900</v>
      </c>
      <c r="H20" s="382">
        <f>G20/F20*100</f>
        <v>50</v>
      </c>
    </row>
    <row r="21" spans="1:8">
      <c r="A21" s="473" t="s">
        <v>160</v>
      </c>
      <c r="B21" s="473"/>
      <c r="C21" s="473"/>
      <c r="D21" s="473"/>
      <c r="E21" s="473"/>
      <c r="F21" s="296">
        <f>SUM(F10:F20)</f>
        <v>1577616.76</v>
      </c>
      <c r="G21" s="296">
        <f>SUM(G10:G20)</f>
        <v>1016201.9299999999</v>
      </c>
      <c r="H21" s="383">
        <f t="shared" si="2"/>
        <v>64.41373822625971</v>
      </c>
    </row>
    <row r="22" spans="1:8" s="243" customFormat="1">
      <c r="A22" s="385"/>
      <c r="B22" s="385"/>
      <c r="C22" s="385"/>
      <c r="D22" s="385"/>
      <c r="E22" s="385"/>
      <c r="F22" s="386"/>
      <c r="G22" s="386"/>
      <c r="H22" s="387"/>
    </row>
    <row r="23" spans="1:8" s="243" customFormat="1">
      <c r="A23" s="385"/>
      <c r="B23" s="385"/>
      <c r="C23" s="385"/>
      <c r="D23" s="385"/>
      <c r="E23" s="385"/>
      <c r="F23" s="386"/>
      <c r="G23" s="386"/>
      <c r="H23" s="387"/>
    </row>
    <row r="24" spans="1:8" s="243" customFormat="1">
      <c r="A24" s="385"/>
      <c r="B24" s="385"/>
      <c r="C24" s="385"/>
      <c r="D24" s="385"/>
      <c r="E24" s="385"/>
      <c r="F24" s="386"/>
      <c r="G24" s="386"/>
      <c r="H24" s="387"/>
    </row>
    <row r="25" spans="1:8" s="243" customFormat="1">
      <c r="A25" s="385"/>
      <c r="B25" s="385"/>
      <c r="C25" s="385"/>
      <c r="D25" s="385"/>
      <c r="E25" s="385"/>
      <c r="F25" s="386"/>
      <c r="G25" s="472" t="s">
        <v>294</v>
      </c>
      <c r="H25" s="472"/>
    </row>
    <row r="26" spans="1:8" s="243" customFormat="1">
      <c r="A26" s="385"/>
      <c r="B26" s="385"/>
      <c r="C26" s="385"/>
      <c r="D26" s="385"/>
      <c r="E26" s="385"/>
      <c r="F26" s="386"/>
      <c r="G26" s="386"/>
      <c r="H26" s="387"/>
    </row>
    <row r="27" spans="1:8" s="243" customFormat="1" ht="15.75">
      <c r="A27" s="474" t="s">
        <v>345</v>
      </c>
      <c r="B27" s="474"/>
      <c r="C27" s="474"/>
      <c r="D27" s="474"/>
      <c r="E27" s="474"/>
      <c r="F27" s="474"/>
      <c r="G27" s="474"/>
      <c r="H27" s="474"/>
    </row>
    <row r="28" spans="1:8" s="243" customFormat="1" ht="15.75" customHeight="1">
      <c r="A28" s="475" t="s">
        <v>344</v>
      </c>
      <c r="B28" s="475"/>
      <c r="C28" s="475"/>
      <c r="D28" s="475"/>
      <c r="E28" s="475"/>
      <c r="F28" s="475"/>
      <c r="G28" s="475"/>
      <c r="H28" s="475"/>
    </row>
    <row r="29" spans="1:8" s="243" customFormat="1" ht="15.75" customHeight="1">
      <c r="A29" s="474" t="s">
        <v>342</v>
      </c>
      <c r="B29" s="474"/>
      <c r="C29" s="474"/>
      <c r="D29" s="474"/>
      <c r="E29" s="474"/>
      <c r="F29" s="474"/>
      <c r="G29" s="474"/>
      <c r="H29" s="474"/>
    </row>
    <row r="30" spans="1:8" s="243" customFormat="1" ht="15.75">
      <c r="A30" s="474" t="s">
        <v>326</v>
      </c>
      <c r="B30" s="474"/>
      <c r="C30" s="474"/>
      <c r="D30" s="474"/>
      <c r="E30" s="474"/>
      <c r="F30" s="474"/>
      <c r="G30" s="474"/>
      <c r="H30" s="474"/>
    </row>
    <row r="31" spans="1:8" s="243" customFormat="1">
      <c r="A31" s="385"/>
      <c r="B31" s="385"/>
      <c r="C31" s="385"/>
      <c r="D31" s="385"/>
      <c r="E31" s="385"/>
      <c r="F31" s="386"/>
      <c r="G31" s="386"/>
      <c r="H31" s="387"/>
    </row>
    <row r="32" spans="1:8" s="243" customFormat="1" ht="25.5">
      <c r="A32" s="291" t="s">
        <v>176</v>
      </c>
      <c r="B32" s="291" t="s">
        <v>0</v>
      </c>
      <c r="C32" s="291" t="s">
        <v>8</v>
      </c>
      <c r="D32" s="291" t="s">
        <v>63</v>
      </c>
      <c r="E32" s="291" t="s">
        <v>181</v>
      </c>
      <c r="F32" s="292" t="s">
        <v>282</v>
      </c>
      <c r="G32" s="293" t="s">
        <v>281</v>
      </c>
      <c r="H32" s="298" t="s">
        <v>137</v>
      </c>
    </row>
    <row r="33" spans="1:8" s="243" customFormat="1">
      <c r="A33" s="299">
        <v>1</v>
      </c>
      <c r="B33" s="299">
        <v>2</v>
      </c>
      <c r="C33" s="299">
        <v>3</v>
      </c>
      <c r="D33" s="299">
        <v>4</v>
      </c>
      <c r="E33" s="299">
        <v>5</v>
      </c>
      <c r="F33" s="299">
        <v>6</v>
      </c>
      <c r="G33" s="299">
        <v>7</v>
      </c>
      <c r="H33" s="130">
        <v>8</v>
      </c>
    </row>
    <row r="34" spans="1:8" s="243" customFormat="1" ht="51">
      <c r="A34" s="340">
        <v>1</v>
      </c>
      <c r="B34" s="340">
        <v>600</v>
      </c>
      <c r="C34" s="340">
        <v>60014</v>
      </c>
      <c r="D34" s="340">
        <v>6617</v>
      </c>
      <c r="E34" s="381" t="s">
        <v>343</v>
      </c>
      <c r="F34" s="395">
        <v>179258.65</v>
      </c>
      <c r="G34" s="396">
        <v>37328.92</v>
      </c>
      <c r="H34" s="382">
        <f t="shared" ref="H34:H35" si="3">G34/F34*100</f>
        <v>20.824055073492968</v>
      </c>
    </row>
    <row r="35" spans="1:8" s="243" customFormat="1">
      <c r="A35" s="473" t="s">
        <v>160</v>
      </c>
      <c r="B35" s="473"/>
      <c r="C35" s="473"/>
      <c r="D35" s="473"/>
      <c r="E35" s="473"/>
      <c r="F35" s="296">
        <f>SUM(F22:F34)</f>
        <v>179264.65</v>
      </c>
      <c r="G35" s="296">
        <f>SUM(G22:G34)</f>
        <v>37335.919999999998</v>
      </c>
      <c r="H35" s="383">
        <f t="shared" si="3"/>
        <v>20.827262932206654</v>
      </c>
    </row>
    <row r="36" spans="1:8" s="243" customFormat="1">
      <c r="A36" s="385"/>
      <c r="B36" s="385"/>
      <c r="C36" s="385"/>
      <c r="D36" s="385"/>
      <c r="E36" s="385"/>
      <c r="F36" s="386"/>
      <c r="G36" s="386"/>
      <c r="H36" s="387"/>
    </row>
    <row r="37" spans="1:8" s="243" customFormat="1">
      <c r="A37" s="385"/>
      <c r="B37" s="385"/>
      <c r="C37" s="385"/>
      <c r="D37" s="385"/>
      <c r="E37" s="385"/>
      <c r="F37" s="386"/>
      <c r="G37" s="386"/>
      <c r="H37" s="387"/>
    </row>
    <row r="38" spans="1:8" s="243" customFormat="1">
      <c r="A38" s="385"/>
      <c r="B38" s="385"/>
      <c r="C38" s="385"/>
      <c r="D38" s="385"/>
      <c r="F38" s="386"/>
      <c r="G38" s="386"/>
      <c r="H38" s="387"/>
    </row>
    <row r="39" spans="1:8" s="243" customFormat="1">
      <c r="A39" s="385"/>
      <c r="B39" s="385"/>
      <c r="C39" s="385"/>
      <c r="D39" s="385"/>
      <c r="E39" s="385"/>
      <c r="F39" s="386"/>
      <c r="G39" s="386"/>
      <c r="H39" s="387"/>
    </row>
    <row r="40" spans="1:8" s="243" customFormat="1">
      <c r="A40" s="385"/>
      <c r="B40" s="385"/>
      <c r="C40" s="385"/>
      <c r="D40" s="385"/>
      <c r="E40" s="385"/>
      <c r="F40" s="386"/>
      <c r="G40" s="386"/>
      <c r="H40" s="387"/>
    </row>
    <row r="41" spans="1:8" s="243" customFormat="1">
      <c r="A41" s="385"/>
      <c r="B41" s="385"/>
      <c r="C41" s="385"/>
      <c r="D41" s="385"/>
      <c r="E41" s="385"/>
      <c r="F41" s="386"/>
      <c r="G41" s="386"/>
      <c r="H41" s="387"/>
    </row>
    <row r="42" spans="1:8" s="243" customFormat="1">
      <c r="A42" s="385"/>
      <c r="B42" s="385"/>
      <c r="C42" s="385"/>
      <c r="D42" s="385"/>
      <c r="E42" s="385"/>
      <c r="F42" s="386"/>
      <c r="G42" s="386"/>
      <c r="H42" s="387"/>
    </row>
    <row r="43" spans="1:8" s="243" customFormat="1">
      <c r="A43" s="385"/>
      <c r="B43" s="385"/>
      <c r="C43" s="385"/>
      <c r="D43" s="385"/>
      <c r="E43" s="385"/>
      <c r="F43" s="386"/>
      <c r="G43" s="386"/>
      <c r="H43" s="387"/>
    </row>
    <row r="44" spans="1:8" s="243" customFormat="1">
      <c r="A44" s="385"/>
      <c r="B44" s="385"/>
      <c r="C44" s="385"/>
      <c r="D44" s="385"/>
      <c r="E44" s="385"/>
      <c r="F44" s="386"/>
      <c r="G44" s="386"/>
      <c r="H44" s="387"/>
    </row>
    <row r="45" spans="1:8" s="243" customFormat="1">
      <c r="A45" s="385"/>
      <c r="B45" s="385"/>
      <c r="C45" s="385"/>
      <c r="D45" s="385"/>
      <c r="E45" s="385"/>
      <c r="F45" s="386"/>
      <c r="G45" s="386"/>
      <c r="H45" s="387"/>
    </row>
    <row r="46" spans="1:8" s="243" customFormat="1">
      <c r="A46" s="385"/>
      <c r="B46" s="385"/>
      <c r="C46" s="385"/>
      <c r="D46" s="385"/>
      <c r="E46" s="385"/>
      <c r="F46" s="386"/>
      <c r="G46" s="386"/>
      <c r="H46" s="387"/>
    </row>
    <row r="47" spans="1:8" s="243" customFormat="1">
      <c r="A47" s="385"/>
      <c r="B47" s="385"/>
      <c r="C47" s="385"/>
      <c r="D47" s="385"/>
      <c r="E47" s="385"/>
      <c r="F47" s="386"/>
      <c r="G47" s="386"/>
      <c r="H47" s="387"/>
    </row>
    <row r="49" spans="8:8" ht="15.75" customHeight="1"/>
    <row r="50" spans="8:8" ht="15.75" customHeight="1"/>
    <row r="51" spans="8:8" ht="15.75" customHeight="1"/>
    <row r="52" spans="8:8" ht="15.75" customHeight="1"/>
    <row r="53" spans="8:8" s="243" customFormat="1" ht="15.75" customHeight="1"/>
    <row r="57" spans="8:8" ht="41.25" customHeight="1"/>
    <row r="58" spans="8:8" s="243" customFormat="1"/>
    <row r="60" spans="8:8" s="243" customFormat="1"/>
    <row r="61" spans="8:8" ht="53.25" customHeight="1"/>
    <row r="64" spans="8:8" ht="15.75">
      <c r="H64" s="285"/>
    </row>
    <row r="65" spans="1:8" ht="15.75">
      <c r="H65" s="285"/>
    </row>
    <row r="66" spans="1:8" ht="15.75">
      <c r="H66" s="285"/>
    </row>
    <row r="72" spans="1:8" ht="15.75" customHeight="1"/>
    <row r="73" spans="1:8" ht="15.75" customHeight="1"/>
    <row r="74" spans="1:8" ht="15.75" customHeight="1"/>
    <row r="75" spans="1:8" s="243" customFormat="1" ht="15.75" customHeight="1">
      <c r="A75" s="44"/>
      <c r="B75" s="44"/>
      <c r="C75" s="44"/>
      <c r="D75" s="44"/>
      <c r="E75" s="44"/>
      <c r="F75" s="44"/>
      <c r="G75" s="44"/>
    </row>
    <row r="88" spans="1:8" s="243" customFormat="1">
      <c r="A88" s="44"/>
      <c r="B88" s="44"/>
      <c r="C88" s="44"/>
      <c r="D88" s="44"/>
      <c r="E88" s="44"/>
      <c r="F88" s="44"/>
      <c r="G88" s="44"/>
      <c r="H88" s="44"/>
    </row>
  </sheetData>
  <mergeCells count="17">
    <mergeCell ref="A35:E35"/>
    <mergeCell ref="G1:H1"/>
    <mergeCell ref="A27:H27"/>
    <mergeCell ref="A29:H29"/>
    <mergeCell ref="A30:H30"/>
    <mergeCell ref="A28:H28"/>
    <mergeCell ref="G25:H25"/>
    <mergeCell ref="A2:F2"/>
    <mergeCell ref="A16:A19"/>
    <mergeCell ref="B16:B19"/>
    <mergeCell ref="C16:C19"/>
    <mergeCell ref="D16:D19"/>
    <mergeCell ref="A6:H6"/>
    <mergeCell ref="A3:H3"/>
    <mergeCell ref="A4:H4"/>
    <mergeCell ref="A5:H5"/>
    <mergeCell ref="A21:E21"/>
  </mergeCells>
  <pageMargins left="0.7" right="0.7" top="0.75" bottom="0.75" header="0.3" footer="0.3"/>
  <pageSetup paperSize="9" orientation="portrait" r:id="rId1"/>
  <headerFooter>
    <oddFooter>&amp;C&amp;"Times New (W1),Normalny"Tabele Nr 6 i 7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30"/>
  <sheetViews>
    <sheetView view="pageLayout" topLeftCell="A13" workbookViewId="0">
      <selection activeCell="A22" sqref="A22:H23"/>
    </sheetView>
  </sheetViews>
  <sheetFormatPr defaultRowHeight="12.75"/>
  <cols>
    <col min="1" max="1" width="4.140625" customWidth="1"/>
    <col min="2" max="2" width="5.5703125" customWidth="1"/>
    <col min="3" max="3" width="6.85546875" customWidth="1"/>
    <col min="4" max="4" width="5.85546875" customWidth="1"/>
    <col min="5" max="5" width="31.7109375" customWidth="1"/>
    <col min="6" max="6" width="12.28515625" customWidth="1"/>
    <col min="7" max="7" width="12.140625" customWidth="1"/>
    <col min="8" max="8" width="5.42578125" customWidth="1"/>
  </cols>
  <sheetData>
    <row r="1" spans="1:8">
      <c r="A1" s="42"/>
      <c r="B1" s="42"/>
      <c r="C1" s="42"/>
      <c r="D1" s="42"/>
      <c r="E1" s="42"/>
      <c r="F1" s="44"/>
      <c r="G1" s="481" t="s">
        <v>288</v>
      </c>
      <c r="H1" s="481"/>
    </row>
    <row r="2" spans="1:8" ht="15.75">
      <c r="A2" s="480" t="s">
        <v>289</v>
      </c>
      <c r="B2" s="480"/>
      <c r="C2" s="480"/>
      <c r="D2" s="480"/>
      <c r="E2" s="480"/>
      <c r="F2" s="480"/>
      <c r="G2" s="480"/>
      <c r="H2" s="480"/>
    </row>
    <row r="3" spans="1:8" ht="15.75">
      <c r="A3" s="480" t="s">
        <v>290</v>
      </c>
      <c r="B3" s="480"/>
      <c r="C3" s="480"/>
      <c r="D3" s="480"/>
      <c r="E3" s="480"/>
      <c r="F3" s="480"/>
      <c r="G3" s="480"/>
      <c r="H3" s="480"/>
    </row>
    <row r="4" spans="1:8" ht="15.75">
      <c r="A4" s="480" t="s">
        <v>180</v>
      </c>
      <c r="B4" s="480"/>
      <c r="C4" s="480"/>
      <c r="D4" s="480"/>
      <c r="E4" s="480"/>
      <c r="F4" s="480"/>
      <c r="G4" s="480"/>
      <c r="H4" s="480"/>
    </row>
    <row r="5" spans="1:8" ht="15.75">
      <c r="A5" s="480" t="s">
        <v>298</v>
      </c>
      <c r="B5" s="480"/>
      <c r="C5" s="480"/>
      <c r="D5" s="480"/>
      <c r="E5" s="480"/>
      <c r="F5" s="480"/>
      <c r="G5" s="480"/>
      <c r="H5" s="480"/>
    </row>
    <row r="6" spans="1:8" ht="15.75">
      <c r="A6" s="474" t="s">
        <v>326</v>
      </c>
      <c r="B6" s="474"/>
      <c r="C6" s="474"/>
      <c r="D6" s="474"/>
      <c r="E6" s="474"/>
      <c r="F6" s="474"/>
      <c r="G6" s="474"/>
      <c r="H6" s="474"/>
    </row>
    <row r="7" spans="1:8" ht="15.75">
      <c r="A7" s="283"/>
      <c r="B7" s="283"/>
      <c r="C7" s="283"/>
      <c r="D7" s="283"/>
      <c r="E7" s="283"/>
      <c r="F7" s="44"/>
      <c r="G7" s="302" t="s">
        <v>165</v>
      </c>
      <c r="H7" s="44"/>
    </row>
    <row r="8" spans="1:8" ht="25.5">
      <c r="A8" s="303" t="s">
        <v>176</v>
      </c>
      <c r="B8" s="303" t="s">
        <v>0</v>
      </c>
      <c r="C8" s="303" t="s">
        <v>8</v>
      </c>
      <c r="D8" s="303" t="s">
        <v>199</v>
      </c>
      <c r="E8" s="303" t="s">
        <v>181</v>
      </c>
      <c r="F8" s="292" t="s">
        <v>282</v>
      </c>
      <c r="G8" s="293" t="s">
        <v>281</v>
      </c>
      <c r="H8" s="298" t="s">
        <v>137</v>
      </c>
    </row>
    <row r="9" spans="1:8">
      <c r="A9" s="260">
        <v>1</v>
      </c>
      <c r="B9" s="260">
        <v>2</v>
      </c>
      <c r="C9" s="260">
        <v>3</v>
      </c>
      <c r="D9" s="260">
        <v>4</v>
      </c>
      <c r="E9" s="260">
        <v>5</v>
      </c>
      <c r="F9" s="260">
        <v>6</v>
      </c>
      <c r="G9" s="299">
        <v>7</v>
      </c>
      <c r="H9" s="130">
        <v>8</v>
      </c>
    </row>
    <row r="10" spans="1:8" ht="36">
      <c r="A10" s="261">
        <v>1</v>
      </c>
      <c r="B10" s="261">
        <v>852</v>
      </c>
      <c r="C10" s="261">
        <v>85201</v>
      </c>
      <c r="D10" s="261">
        <v>2820</v>
      </c>
      <c r="E10" s="388" t="s">
        <v>330</v>
      </c>
      <c r="F10" s="304">
        <v>855235</v>
      </c>
      <c r="G10" s="306">
        <v>392522.4</v>
      </c>
      <c r="H10" s="46">
        <f t="shared" ref="H10:H15" si="0">G10/F10*100</f>
        <v>45.896437821183653</v>
      </c>
    </row>
    <row r="11" spans="1:8" ht="36">
      <c r="A11" s="261">
        <v>2</v>
      </c>
      <c r="B11" s="326">
        <v>852</v>
      </c>
      <c r="C11" s="326">
        <v>85201</v>
      </c>
      <c r="D11" s="326">
        <v>2360</v>
      </c>
      <c r="E11" s="389" t="s">
        <v>291</v>
      </c>
      <c r="F11" s="295">
        <v>1744600</v>
      </c>
      <c r="G11" s="294">
        <v>547086.82999999996</v>
      </c>
      <c r="H11" s="46">
        <f t="shared" si="0"/>
        <v>31.358869081737932</v>
      </c>
    </row>
    <row r="12" spans="1:8" ht="77.25" customHeight="1">
      <c r="A12" s="261">
        <v>3</v>
      </c>
      <c r="B12" s="261">
        <v>852</v>
      </c>
      <c r="C12" s="261">
        <v>85202</v>
      </c>
      <c r="D12" s="261">
        <v>2820</v>
      </c>
      <c r="E12" s="388" t="s">
        <v>292</v>
      </c>
      <c r="F12" s="304">
        <v>1747000</v>
      </c>
      <c r="G12" s="306">
        <v>826271</v>
      </c>
      <c r="H12" s="46">
        <f t="shared" si="0"/>
        <v>47.296565540927304</v>
      </c>
    </row>
    <row r="13" spans="1:8" ht="48">
      <c r="A13" s="261">
        <v>4</v>
      </c>
      <c r="B13" s="261">
        <v>921</v>
      </c>
      <c r="C13" s="261">
        <v>92120</v>
      </c>
      <c r="D13" s="261">
        <v>2720</v>
      </c>
      <c r="E13" s="388" t="s">
        <v>331</v>
      </c>
      <c r="F13" s="304">
        <v>50000</v>
      </c>
      <c r="G13" s="306">
        <v>25000</v>
      </c>
      <c r="H13" s="46">
        <f t="shared" si="0"/>
        <v>50</v>
      </c>
    </row>
    <row r="14" spans="1:8" ht="48">
      <c r="A14" s="261">
        <v>5</v>
      </c>
      <c r="B14" s="261">
        <v>926</v>
      </c>
      <c r="C14" s="261">
        <v>92605</v>
      </c>
      <c r="D14" s="261">
        <v>2820</v>
      </c>
      <c r="E14" s="388" t="s">
        <v>293</v>
      </c>
      <c r="F14" s="304">
        <v>45000</v>
      </c>
      <c r="G14" s="306">
        <v>30000</v>
      </c>
      <c r="H14" s="46">
        <f t="shared" si="0"/>
        <v>66.666666666666657</v>
      </c>
    </row>
    <row r="15" spans="1:8">
      <c r="A15" s="482" t="s">
        <v>160</v>
      </c>
      <c r="B15" s="483"/>
      <c r="C15" s="483"/>
      <c r="D15" s="483"/>
      <c r="E15" s="484"/>
      <c r="F15" s="305">
        <f>SUM(F10:F14)</f>
        <v>4441835</v>
      </c>
      <c r="G15" s="307">
        <f>SUM(G10:G14)</f>
        <v>1820880.23</v>
      </c>
      <c r="H15" s="131">
        <f t="shared" si="0"/>
        <v>40.993873703097933</v>
      </c>
    </row>
    <row r="16" spans="1:8" ht="15.75">
      <c r="A16" s="42"/>
      <c r="B16" s="42"/>
      <c r="C16" s="42"/>
      <c r="D16" s="42"/>
      <c r="E16" s="42"/>
      <c r="F16" s="42"/>
      <c r="G16" s="44"/>
      <c r="H16" s="285"/>
    </row>
    <row r="17" spans="1:8" ht="12.75" customHeight="1">
      <c r="A17" s="42"/>
      <c r="B17" s="42"/>
      <c r="C17" s="42"/>
      <c r="D17" s="42"/>
      <c r="E17" s="42"/>
      <c r="F17" s="42"/>
      <c r="G17" s="243"/>
      <c r="H17" s="339"/>
    </row>
    <row r="18" spans="1:8" ht="6.75" customHeight="1">
      <c r="A18" s="42"/>
      <c r="B18" s="42"/>
      <c r="C18" s="42"/>
      <c r="D18" s="42"/>
      <c r="E18" s="42"/>
      <c r="F18" s="42"/>
      <c r="G18" s="243"/>
      <c r="H18" s="339"/>
    </row>
    <row r="19" spans="1:8">
      <c r="A19" s="42"/>
      <c r="B19" s="42"/>
      <c r="C19" s="42"/>
      <c r="D19" s="42"/>
      <c r="E19" s="42"/>
      <c r="F19" s="42"/>
      <c r="G19" s="479" t="s">
        <v>295</v>
      </c>
      <c r="H19" s="479"/>
    </row>
    <row r="20" spans="1:8" ht="15.75">
      <c r="A20" s="480" t="s">
        <v>289</v>
      </c>
      <c r="B20" s="480"/>
      <c r="C20" s="480"/>
      <c r="D20" s="480"/>
      <c r="E20" s="480"/>
      <c r="F20" s="480"/>
      <c r="G20" s="480"/>
      <c r="H20" s="480"/>
    </row>
    <row r="21" spans="1:8" ht="15.75">
      <c r="A21" s="480" t="s">
        <v>290</v>
      </c>
      <c r="B21" s="480"/>
      <c r="C21" s="480"/>
      <c r="D21" s="480"/>
      <c r="E21" s="480"/>
      <c r="F21" s="480"/>
      <c r="G21" s="480"/>
      <c r="H21" s="480"/>
    </row>
    <row r="22" spans="1:8" ht="15.75">
      <c r="A22" s="480" t="s">
        <v>299</v>
      </c>
      <c r="B22" s="480"/>
      <c r="C22" s="480"/>
      <c r="D22" s="480"/>
      <c r="E22" s="480"/>
      <c r="F22" s="480"/>
      <c r="G22" s="480"/>
      <c r="H22" s="480"/>
    </row>
    <row r="23" spans="1:8" ht="15.75">
      <c r="A23" s="474" t="s">
        <v>326</v>
      </c>
      <c r="B23" s="474"/>
      <c r="C23" s="474"/>
      <c r="D23" s="474"/>
      <c r="E23" s="474"/>
      <c r="F23" s="474"/>
      <c r="G23" s="474"/>
      <c r="H23" s="474"/>
    </row>
    <row r="24" spans="1:8" ht="15.75">
      <c r="A24" s="283"/>
      <c r="B24" s="283"/>
      <c r="C24" s="283"/>
      <c r="D24" s="283"/>
      <c r="E24" s="283"/>
      <c r="F24" s="283"/>
      <c r="G24" s="302" t="s">
        <v>165</v>
      </c>
    </row>
    <row r="25" spans="1:8" ht="25.5">
      <c r="A25" s="303" t="s">
        <v>176</v>
      </c>
      <c r="B25" s="303" t="s">
        <v>0</v>
      </c>
      <c r="C25" s="303" t="s">
        <v>8</v>
      </c>
      <c r="D25" s="303" t="s">
        <v>199</v>
      </c>
      <c r="E25" s="303" t="s">
        <v>181</v>
      </c>
      <c r="F25" s="292" t="s">
        <v>282</v>
      </c>
      <c r="G25" s="293" t="s">
        <v>281</v>
      </c>
      <c r="H25" s="311" t="s">
        <v>137</v>
      </c>
    </row>
    <row r="26" spans="1:8">
      <c r="A26" s="260">
        <v>1</v>
      </c>
      <c r="B26" s="260">
        <v>2</v>
      </c>
      <c r="C26" s="260">
        <v>3</v>
      </c>
      <c r="D26" s="260">
        <v>4</v>
      </c>
      <c r="E26" s="260">
        <v>5</v>
      </c>
      <c r="F26" s="260">
        <v>6</v>
      </c>
      <c r="G26" s="260">
        <v>7</v>
      </c>
      <c r="H26" s="260">
        <v>8</v>
      </c>
    </row>
    <row r="27" spans="1:8" ht="84">
      <c r="A27" s="308">
        <v>1</v>
      </c>
      <c r="B27" s="308">
        <v>600</v>
      </c>
      <c r="C27" s="308">
        <v>60016</v>
      </c>
      <c r="D27" s="308">
        <v>6300</v>
      </c>
      <c r="E27" s="390" t="s">
        <v>332</v>
      </c>
      <c r="F27" s="312">
        <v>100000</v>
      </c>
      <c r="G27" s="312">
        <v>0</v>
      </c>
      <c r="H27" s="392">
        <f>G27/F27*100</f>
        <v>0</v>
      </c>
    </row>
    <row r="28" spans="1:8" ht="48">
      <c r="A28" s="308">
        <v>4</v>
      </c>
      <c r="B28" s="308">
        <v>851</v>
      </c>
      <c r="C28" s="308">
        <v>85141</v>
      </c>
      <c r="D28" s="308">
        <v>6300</v>
      </c>
      <c r="E28" s="391" t="s">
        <v>333</v>
      </c>
      <c r="F28" s="313">
        <v>5000</v>
      </c>
      <c r="G28" s="313">
        <v>0</v>
      </c>
      <c r="H28" s="392">
        <f>G28/F28*100</f>
        <v>0</v>
      </c>
    </row>
    <row r="29" spans="1:8" ht="36">
      <c r="A29" s="261">
        <v>5</v>
      </c>
      <c r="B29" s="261">
        <v>926</v>
      </c>
      <c r="C29" s="261">
        <v>92601</v>
      </c>
      <c r="D29" s="261">
        <v>6300</v>
      </c>
      <c r="E29" s="202" t="s">
        <v>296</v>
      </c>
      <c r="F29" s="314">
        <v>1000000</v>
      </c>
      <c r="G29" s="314">
        <v>0</v>
      </c>
      <c r="H29" s="392">
        <f>G29/F29*100</f>
        <v>0</v>
      </c>
    </row>
    <row r="30" spans="1:8">
      <c r="A30" s="309" t="s">
        <v>160</v>
      </c>
      <c r="B30" s="310"/>
      <c r="C30" s="310"/>
      <c r="D30" s="310"/>
      <c r="E30" s="310"/>
      <c r="F30" s="315">
        <f>SUM(F27:F29)</f>
        <v>1105000</v>
      </c>
      <c r="G30" s="315">
        <f>SUM(G27:G29)</f>
        <v>0</v>
      </c>
      <c r="H30" s="393">
        <f>G30/F30*100</f>
        <v>0</v>
      </c>
    </row>
  </sheetData>
  <mergeCells count="12">
    <mergeCell ref="G1:H1"/>
    <mergeCell ref="A2:H2"/>
    <mergeCell ref="A3:H3"/>
    <mergeCell ref="A4:H4"/>
    <mergeCell ref="A15:E15"/>
    <mergeCell ref="A5:H5"/>
    <mergeCell ref="A6:H6"/>
    <mergeCell ref="G19:H19"/>
    <mergeCell ref="A23:H23"/>
    <mergeCell ref="A20:H20"/>
    <mergeCell ref="A21:H21"/>
    <mergeCell ref="A22:H22"/>
  </mergeCells>
  <pageMargins left="0.7" right="0.7" top="0.75" bottom="0.75" header="0.3" footer="0.3"/>
  <pageSetup paperSize="9" orientation="portrait" r:id="rId1"/>
  <headerFooter>
    <oddFooter>&amp;CTabele nr 8 i 9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I26"/>
  <sheetViews>
    <sheetView view="pageLayout" workbookViewId="0">
      <selection activeCell="F41" sqref="F41"/>
    </sheetView>
  </sheetViews>
  <sheetFormatPr defaultRowHeight="12.75"/>
  <cols>
    <col min="1" max="1" width="4.5703125" customWidth="1"/>
    <col min="2" max="2" width="6.42578125" customWidth="1"/>
    <col min="3" max="3" width="7.85546875" customWidth="1"/>
    <col min="5" max="5" width="10.7109375" customWidth="1"/>
    <col min="6" max="6" width="17.7109375" customWidth="1"/>
    <col min="7" max="7" width="12.28515625" customWidth="1"/>
    <col min="8" max="8" width="12" customWidth="1"/>
    <col min="9" max="9" width="6.42578125" customWidth="1"/>
  </cols>
  <sheetData>
    <row r="1" spans="1:9">
      <c r="A1" s="198"/>
      <c r="B1" s="198"/>
      <c r="C1" s="198"/>
      <c r="D1" s="198"/>
      <c r="E1" s="198"/>
      <c r="F1" s="198"/>
      <c r="G1" s="199"/>
      <c r="H1" s="488" t="s">
        <v>297</v>
      </c>
      <c r="I1" s="488"/>
    </row>
    <row r="2" spans="1:9">
      <c r="A2" s="198"/>
      <c r="B2" s="198"/>
      <c r="C2" s="198"/>
      <c r="D2" s="198"/>
      <c r="E2" s="198"/>
      <c r="F2" s="198"/>
      <c r="G2" s="199"/>
      <c r="H2" s="200"/>
      <c r="I2" s="201"/>
    </row>
    <row r="3" spans="1:9" ht="15.75">
      <c r="A3" s="487" t="s">
        <v>184</v>
      </c>
      <c r="B3" s="487"/>
      <c r="C3" s="487"/>
      <c r="D3" s="487"/>
      <c r="E3" s="487"/>
      <c r="F3" s="487"/>
      <c r="G3" s="487"/>
      <c r="H3" s="487"/>
      <c r="I3" s="487"/>
    </row>
    <row r="4" spans="1:9" ht="15.75">
      <c r="A4" s="487" t="s">
        <v>185</v>
      </c>
      <c r="B4" s="487"/>
      <c r="C4" s="487"/>
      <c r="D4" s="487"/>
      <c r="E4" s="487"/>
      <c r="F4" s="487"/>
      <c r="G4" s="487"/>
      <c r="H4" s="487"/>
      <c r="I4" s="487"/>
    </row>
    <row r="5" spans="1:9" ht="15.75">
      <c r="A5" s="487" t="s">
        <v>220</v>
      </c>
      <c r="B5" s="487"/>
      <c r="C5" s="487"/>
      <c r="D5" s="487"/>
      <c r="E5" s="487"/>
      <c r="F5" s="487"/>
      <c r="G5" s="487"/>
      <c r="H5" s="487"/>
      <c r="I5" s="487"/>
    </row>
    <row r="6" spans="1:9" ht="15.75">
      <c r="A6" s="125"/>
      <c r="B6" s="125"/>
      <c r="C6" s="125"/>
      <c r="D6" s="282"/>
      <c r="E6" s="125"/>
      <c r="F6" s="125"/>
      <c r="G6" s="132"/>
      <c r="H6" s="112" t="s">
        <v>165</v>
      </c>
      <c r="I6" s="113"/>
    </row>
    <row r="7" spans="1:9">
      <c r="A7" s="127" t="s">
        <v>176</v>
      </c>
      <c r="B7" s="127" t="s">
        <v>0</v>
      </c>
      <c r="C7" s="127" t="s">
        <v>8</v>
      </c>
      <c r="D7" s="494" t="s">
        <v>181</v>
      </c>
      <c r="E7" s="495"/>
      <c r="F7" s="128" t="s">
        <v>186</v>
      </c>
      <c r="G7" s="128" t="s">
        <v>161</v>
      </c>
      <c r="H7" s="127" t="s">
        <v>127</v>
      </c>
      <c r="I7" s="127" t="s">
        <v>137</v>
      </c>
    </row>
    <row r="8" spans="1:9">
      <c r="A8" s="129">
        <v>1</v>
      </c>
      <c r="B8" s="129">
        <v>2</v>
      </c>
      <c r="C8" s="129">
        <v>3</v>
      </c>
      <c r="D8" s="492">
        <v>4</v>
      </c>
      <c r="E8" s="493"/>
      <c r="F8" s="129">
        <v>5</v>
      </c>
      <c r="G8" s="129">
        <v>6</v>
      </c>
      <c r="H8" s="133">
        <v>7</v>
      </c>
      <c r="I8" s="133">
        <v>8</v>
      </c>
    </row>
    <row r="9" spans="1:9" s="67" customFormat="1" ht="41.25" customHeight="1">
      <c r="A9" s="351"/>
      <c r="B9" s="327">
        <v>754</v>
      </c>
      <c r="C9" s="327">
        <v>75405</v>
      </c>
      <c r="D9" s="485" t="s">
        <v>334</v>
      </c>
      <c r="E9" s="486"/>
      <c r="F9" s="394" t="s">
        <v>335</v>
      </c>
      <c r="G9" s="352">
        <v>15000</v>
      </c>
      <c r="H9" s="353">
        <v>15000</v>
      </c>
      <c r="I9" s="144">
        <f>H9/G9*100</f>
        <v>100</v>
      </c>
    </row>
    <row r="10" spans="1:9" ht="38.25">
      <c r="A10" s="134">
        <v>1</v>
      </c>
      <c r="B10" s="124">
        <v>754</v>
      </c>
      <c r="C10" s="124">
        <v>75406</v>
      </c>
      <c r="D10" s="485" t="s">
        <v>287</v>
      </c>
      <c r="E10" s="486"/>
      <c r="F10" s="135" t="s">
        <v>286</v>
      </c>
      <c r="G10" s="354">
        <v>5000</v>
      </c>
      <c r="H10" s="355">
        <v>5000</v>
      </c>
      <c r="I10" s="144">
        <f>H10/G10*100</f>
        <v>100</v>
      </c>
    </row>
    <row r="11" spans="1:9">
      <c r="A11" s="489" t="s">
        <v>160</v>
      </c>
      <c r="B11" s="490"/>
      <c r="C11" s="490"/>
      <c r="D11" s="490"/>
      <c r="E11" s="490"/>
      <c r="F11" s="491"/>
      <c r="G11" s="356">
        <f>SUM(G9:G10)</f>
        <v>20000</v>
      </c>
      <c r="H11" s="356">
        <f>SUM(H9:H10)</f>
        <v>20000</v>
      </c>
      <c r="I11" s="301">
        <f>H11/G11*100</f>
        <v>100</v>
      </c>
    </row>
    <row r="17" spans="1:9">
      <c r="H17" s="488" t="s">
        <v>300</v>
      </c>
      <c r="I17" s="488"/>
    </row>
    <row r="18" spans="1:9" ht="15.75">
      <c r="A18" s="487" t="s">
        <v>336</v>
      </c>
      <c r="B18" s="487"/>
      <c r="C18" s="487"/>
      <c r="D18" s="487"/>
      <c r="E18" s="487"/>
      <c r="F18" s="487"/>
      <c r="G18" s="487"/>
      <c r="H18" s="487"/>
      <c r="I18" s="487"/>
    </row>
    <row r="19" spans="1:9" ht="15.75">
      <c r="A19" s="487" t="s">
        <v>337</v>
      </c>
      <c r="B19" s="487"/>
      <c r="C19" s="487"/>
      <c r="D19" s="487"/>
      <c r="E19" s="487"/>
      <c r="F19" s="487"/>
      <c r="G19" s="487"/>
      <c r="H19" s="487"/>
      <c r="I19" s="487"/>
    </row>
    <row r="20" spans="1:9" ht="15.75">
      <c r="A20" s="487" t="s">
        <v>220</v>
      </c>
      <c r="B20" s="487"/>
      <c r="C20" s="487"/>
      <c r="D20" s="487"/>
      <c r="E20" s="487"/>
      <c r="F20" s="487"/>
      <c r="G20" s="487"/>
      <c r="H20" s="487"/>
      <c r="I20" s="487"/>
    </row>
    <row r="23" spans="1:9">
      <c r="A23" s="127" t="s">
        <v>176</v>
      </c>
      <c r="B23" s="127" t="s">
        <v>0</v>
      </c>
      <c r="C23" s="127" t="s">
        <v>8</v>
      </c>
      <c r="D23" s="494" t="s">
        <v>339</v>
      </c>
      <c r="E23" s="495"/>
      <c r="F23" s="128" t="s">
        <v>338</v>
      </c>
      <c r="G23" s="128" t="s">
        <v>161</v>
      </c>
      <c r="H23" s="127" t="s">
        <v>127</v>
      </c>
      <c r="I23" s="127" t="s">
        <v>137</v>
      </c>
    </row>
    <row r="24" spans="1:9">
      <c r="A24" s="129">
        <v>1</v>
      </c>
      <c r="B24" s="129">
        <v>2</v>
      </c>
      <c r="C24" s="129">
        <v>3</v>
      </c>
      <c r="D24" s="492">
        <v>4</v>
      </c>
      <c r="E24" s="493"/>
      <c r="F24" s="129">
        <v>5</v>
      </c>
      <c r="G24" s="129">
        <v>6</v>
      </c>
      <c r="H24" s="133">
        <v>7</v>
      </c>
      <c r="I24" s="133">
        <v>8</v>
      </c>
    </row>
    <row r="25" spans="1:9" ht="96" customHeight="1">
      <c r="A25" s="134">
        <v>1</v>
      </c>
      <c r="B25" s="327">
        <v>926</v>
      </c>
      <c r="C25" s="327">
        <v>92601</v>
      </c>
      <c r="D25" s="496" t="s">
        <v>340</v>
      </c>
      <c r="E25" s="497"/>
      <c r="F25" s="135" t="s">
        <v>341</v>
      </c>
      <c r="G25" s="354">
        <v>900</v>
      </c>
      <c r="H25" s="355">
        <v>900</v>
      </c>
      <c r="I25" s="144">
        <f>H25/G25*100</f>
        <v>100</v>
      </c>
    </row>
    <row r="26" spans="1:9">
      <c r="A26" s="489" t="s">
        <v>160</v>
      </c>
      <c r="B26" s="490"/>
      <c r="C26" s="490"/>
      <c r="D26" s="490"/>
      <c r="E26" s="490"/>
      <c r="F26" s="491"/>
      <c r="G26" s="356">
        <f>SUM(G25:G25)</f>
        <v>900</v>
      </c>
      <c r="H26" s="356">
        <f>SUM(H25:H25)</f>
        <v>900</v>
      </c>
      <c r="I26" s="301">
        <f>H26/G26*100</f>
        <v>100</v>
      </c>
    </row>
  </sheetData>
  <mergeCells count="17">
    <mergeCell ref="D23:E23"/>
    <mergeCell ref="D24:E24"/>
    <mergeCell ref="D25:E25"/>
    <mergeCell ref="A26:F26"/>
    <mergeCell ref="D7:E7"/>
    <mergeCell ref="A5:I5"/>
    <mergeCell ref="H1:I1"/>
    <mergeCell ref="A3:I3"/>
    <mergeCell ref="A11:F11"/>
    <mergeCell ref="A4:I4"/>
    <mergeCell ref="D8:E8"/>
    <mergeCell ref="D10:E10"/>
    <mergeCell ref="D9:E9"/>
    <mergeCell ref="A18:I18"/>
    <mergeCell ref="A19:I19"/>
    <mergeCell ref="A20:I20"/>
    <mergeCell ref="H17:I17"/>
  </mergeCells>
  <pageMargins left="0.7" right="0.7" top="0.75" bottom="0.75" header="0.3" footer="0.3"/>
  <pageSetup paperSize="9" orientation="portrait" r:id="rId1"/>
  <headerFooter>
    <oddFooter>&amp;CTabela Nr 10 i 11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AG31"/>
  <sheetViews>
    <sheetView view="pageLayout" workbookViewId="0">
      <selection activeCell="J10" sqref="J10"/>
    </sheetView>
  </sheetViews>
  <sheetFormatPr defaultRowHeight="12.75"/>
  <cols>
    <col min="1" max="1" width="4.140625" customWidth="1"/>
    <col min="2" max="2" width="5.140625" customWidth="1"/>
    <col min="3" max="3" width="27.85546875" customWidth="1"/>
    <col min="4" max="4" width="10.140625" customWidth="1"/>
    <col min="5" max="5" width="10.42578125" customWidth="1"/>
    <col min="6" max="6" width="10.28515625" customWidth="1"/>
    <col min="7" max="7" width="10.140625" customWidth="1"/>
    <col min="8" max="8" width="10" customWidth="1"/>
    <col min="9" max="9" width="10.140625" customWidth="1"/>
    <col min="10" max="10" width="9.7109375" customWidth="1"/>
    <col min="11" max="11" width="9" customWidth="1"/>
    <col min="12" max="12" width="7.42578125" customWidth="1"/>
    <col min="13" max="13" width="7.85546875" customWidth="1"/>
    <col min="14" max="14" width="6.42578125" customWidth="1"/>
  </cols>
  <sheetData>
    <row r="1" spans="1:33">
      <c r="A1" s="42"/>
      <c r="B1" s="42"/>
      <c r="C1" s="42"/>
      <c r="D1" s="454" t="s">
        <v>301</v>
      </c>
      <c r="E1" s="454"/>
      <c r="F1" s="454"/>
      <c r="G1" s="454"/>
      <c r="H1" s="454"/>
      <c r="I1" s="454"/>
      <c r="J1" s="454"/>
      <c r="K1" s="454"/>
      <c r="L1" s="454"/>
      <c r="M1" s="454"/>
      <c r="N1" s="454"/>
    </row>
    <row r="2" spans="1:33">
      <c r="A2" s="412" t="s">
        <v>7</v>
      </c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</row>
    <row r="3" spans="1:33">
      <c r="A3" s="412" t="s">
        <v>3</v>
      </c>
      <c r="B3" s="412"/>
      <c r="C3" s="412"/>
      <c r="D3" s="412"/>
      <c r="E3" s="412"/>
      <c r="F3" s="412"/>
      <c r="G3" s="412"/>
      <c r="H3" s="412"/>
      <c r="I3" s="412"/>
      <c r="J3" s="412"/>
      <c r="K3" s="412"/>
      <c r="L3" s="412"/>
      <c r="M3" s="412"/>
      <c r="N3" s="412"/>
    </row>
    <row r="4" spans="1:33" ht="14.25" customHeight="1">
      <c r="A4" s="506" t="s">
        <v>5</v>
      </c>
      <c r="B4" s="506"/>
      <c r="C4" s="506"/>
      <c r="D4" s="506"/>
      <c r="E4" s="506"/>
      <c r="F4" s="506"/>
      <c r="G4" s="506"/>
      <c r="H4" s="506"/>
      <c r="I4" s="506"/>
      <c r="J4" s="506"/>
      <c r="K4" s="506"/>
      <c r="L4" s="506"/>
      <c r="M4" s="506"/>
      <c r="N4" s="506"/>
    </row>
    <row r="5" spans="1:33">
      <c r="A5" s="412" t="s">
        <v>315</v>
      </c>
      <c r="B5" s="412"/>
      <c r="C5" s="412"/>
      <c r="D5" s="412"/>
      <c r="E5" s="412"/>
      <c r="F5" s="412"/>
      <c r="G5" s="412"/>
      <c r="H5" s="412"/>
      <c r="I5" s="412"/>
      <c r="J5" s="412"/>
      <c r="K5" s="412"/>
      <c r="L5" s="412"/>
      <c r="M5" s="412"/>
      <c r="N5" s="412"/>
    </row>
    <row r="6" spans="1:3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 t="s">
        <v>165</v>
      </c>
    </row>
    <row r="7" spans="1:33" s="6" customFormat="1" ht="12.75" customHeight="1">
      <c r="A7" s="397" t="s">
        <v>0</v>
      </c>
      <c r="B7" s="397" t="s">
        <v>8</v>
      </c>
      <c r="C7" s="397" t="s">
        <v>1</v>
      </c>
      <c r="D7" s="397" t="s">
        <v>158</v>
      </c>
      <c r="E7" s="397" t="s">
        <v>127</v>
      </c>
      <c r="F7" s="501" t="s">
        <v>150</v>
      </c>
      <c r="G7" s="502"/>
      <c r="H7" s="502"/>
      <c r="I7" s="502"/>
      <c r="J7" s="502"/>
      <c r="K7" s="502"/>
      <c r="L7" s="502"/>
      <c r="M7" s="502"/>
      <c r="N7" s="498" t="s">
        <v>124</v>
      </c>
    </row>
    <row r="8" spans="1:33" s="6" customFormat="1" ht="12.75" customHeight="1">
      <c r="A8" s="398"/>
      <c r="B8" s="398"/>
      <c r="C8" s="398"/>
      <c r="D8" s="398"/>
      <c r="E8" s="398"/>
      <c r="F8" s="401" t="s">
        <v>9</v>
      </c>
      <c r="G8" s="73" t="s">
        <v>10</v>
      </c>
      <c r="H8" s="73"/>
      <c r="I8" s="73"/>
      <c r="J8" s="73"/>
      <c r="K8" s="73"/>
      <c r="L8" s="74"/>
      <c r="M8" s="499" t="s">
        <v>149</v>
      </c>
      <c r="N8" s="498"/>
    </row>
    <row r="9" spans="1:33" s="6" customFormat="1" ht="93.75" customHeight="1">
      <c r="A9" s="399"/>
      <c r="B9" s="399"/>
      <c r="C9" s="399"/>
      <c r="D9" s="399"/>
      <c r="E9" s="399"/>
      <c r="F9" s="403"/>
      <c r="G9" s="123" t="s">
        <v>221</v>
      </c>
      <c r="H9" s="123" t="s">
        <v>224</v>
      </c>
      <c r="I9" s="123" t="s">
        <v>222</v>
      </c>
      <c r="J9" s="123" t="s">
        <v>350</v>
      </c>
      <c r="K9" s="232" t="s">
        <v>223</v>
      </c>
      <c r="L9" s="123" t="s">
        <v>11</v>
      </c>
      <c r="M9" s="500"/>
      <c r="N9" s="498"/>
    </row>
    <row r="10" spans="1:33" s="66" customFormat="1" ht="11.25">
      <c r="A10" s="117">
        <v>1</v>
      </c>
      <c r="B10" s="117">
        <v>2</v>
      </c>
      <c r="C10" s="117">
        <v>3</v>
      </c>
      <c r="D10" s="117">
        <v>4</v>
      </c>
      <c r="E10" s="117">
        <v>5</v>
      </c>
      <c r="F10" s="117">
        <v>6</v>
      </c>
      <c r="G10" s="117">
        <v>7</v>
      </c>
      <c r="H10" s="117">
        <v>8</v>
      </c>
      <c r="I10" s="117">
        <v>9</v>
      </c>
      <c r="J10" s="117">
        <v>10</v>
      </c>
      <c r="K10" s="117">
        <v>11</v>
      </c>
      <c r="L10" s="117">
        <v>12</v>
      </c>
      <c r="M10" s="117">
        <v>13</v>
      </c>
      <c r="N10" s="117">
        <v>14</v>
      </c>
    </row>
    <row r="11" spans="1:33" s="70" customFormat="1" ht="12">
      <c r="A11" s="50" t="s">
        <v>13</v>
      </c>
      <c r="B11" s="51"/>
      <c r="C11" s="52" t="s">
        <v>27</v>
      </c>
      <c r="D11" s="248">
        <f>D12</f>
        <v>50000</v>
      </c>
      <c r="E11" s="248">
        <f t="shared" ref="E11:M11" si="0">E12</f>
        <v>9244</v>
      </c>
      <c r="F11" s="248">
        <f t="shared" si="0"/>
        <v>9244</v>
      </c>
      <c r="G11" s="248">
        <f t="shared" si="0"/>
        <v>0</v>
      </c>
      <c r="H11" s="248">
        <f t="shared" si="0"/>
        <v>9244</v>
      </c>
      <c r="I11" s="248">
        <f t="shared" si="0"/>
        <v>0</v>
      </c>
      <c r="J11" s="248">
        <f t="shared" si="0"/>
        <v>0</v>
      </c>
      <c r="K11" s="248">
        <f t="shared" si="0"/>
        <v>0</v>
      </c>
      <c r="L11" s="248">
        <f t="shared" si="0"/>
        <v>0</v>
      </c>
      <c r="M11" s="248">
        <f t="shared" si="0"/>
        <v>0</v>
      </c>
      <c r="N11" s="254">
        <f>E11/D11*100</f>
        <v>18.488</v>
      </c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</row>
    <row r="12" spans="1:33" s="72" customFormat="1" ht="12">
      <c r="A12" s="53" t="s">
        <v>12</v>
      </c>
      <c r="B12" s="54" t="s">
        <v>48</v>
      </c>
      <c r="C12" s="55" t="s">
        <v>64</v>
      </c>
      <c r="D12" s="251">
        <v>50000</v>
      </c>
      <c r="E12" s="251">
        <v>9244</v>
      </c>
      <c r="F12" s="251">
        <f>E12</f>
        <v>9244</v>
      </c>
      <c r="G12" s="251">
        <v>0</v>
      </c>
      <c r="H12" s="251">
        <f>F12</f>
        <v>9244</v>
      </c>
      <c r="I12" s="251"/>
      <c r="J12" s="251"/>
      <c r="K12" s="251">
        <v>0</v>
      </c>
      <c r="L12" s="251">
        <v>0</v>
      </c>
      <c r="M12" s="252">
        <v>0</v>
      </c>
      <c r="N12" s="316">
        <f t="shared" ref="N12:N31" si="1">E12/D12*100</f>
        <v>18.488</v>
      </c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</row>
    <row r="13" spans="1:33" s="48" customFormat="1" ht="12">
      <c r="A13" s="51">
        <v>700</v>
      </c>
      <c r="B13" s="50"/>
      <c r="C13" s="58" t="s">
        <v>29</v>
      </c>
      <c r="D13" s="249">
        <f>D14</f>
        <v>10000</v>
      </c>
      <c r="E13" s="249">
        <f t="shared" ref="E13:M13" si="2">E14</f>
        <v>3963.9</v>
      </c>
      <c r="F13" s="249">
        <f t="shared" si="2"/>
        <v>3963.9</v>
      </c>
      <c r="G13" s="249">
        <f t="shared" si="2"/>
        <v>0</v>
      </c>
      <c r="H13" s="249">
        <f t="shared" si="2"/>
        <v>3963.9</v>
      </c>
      <c r="I13" s="249">
        <f t="shared" si="2"/>
        <v>0</v>
      </c>
      <c r="J13" s="249">
        <f t="shared" si="2"/>
        <v>0</v>
      </c>
      <c r="K13" s="249">
        <f t="shared" si="2"/>
        <v>0</v>
      </c>
      <c r="L13" s="249">
        <f t="shared" si="2"/>
        <v>0</v>
      </c>
      <c r="M13" s="249">
        <f t="shared" si="2"/>
        <v>0</v>
      </c>
      <c r="N13" s="254">
        <f t="shared" si="1"/>
        <v>39.639000000000003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</row>
    <row r="14" spans="1:33" s="72" customFormat="1" ht="12">
      <c r="A14" s="53" t="s">
        <v>12</v>
      </c>
      <c r="B14" s="53">
        <v>70005</v>
      </c>
      <c r="C14" s="55" t="s">
        <v>70</v>
      </c>
      <c r="D14" s="251">
        <v>10000</v>
      </c>
      <c r="E14" s="251">
        <v>3963.9</v>
      </c>
      <c r="F14" s="251">
        <f>E14</f>
        <v>3963.9</v>
      </c>
      <c r="G14" s="251">
        <v>0</v>
      </c>
      <c r="H14" s="251">
        <f>F14-G14</f>
        <v>3963.9</v>
      </c>
      <c r="I14" s="251"/>
      <c r="J14" s="251"/>
      <c r="K14" s="251"/>
      <c r="L14" s="251"/>
      <c r="M14" s="252"/>
      <c r="N14" s="316">
        <f t="shared" si="1"/>
        <v>39.639000000000003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</row>
    <row r="15" spans="1:33" s="48" customFormat="1" ht="12">
      <c r="A15" s="59">
        <v>710</v>
      </c>
      <c r="B15" s="51"/>
      <c r="C15" s="58" t="s">
        <v>103</v>
      </c>
      <c r="D15" s="249">
        <f>D16+D17+D18</f>
        <v>380000</v>
      </c>
      <c r="E15" s="249">
        <f t="shared" ref="E15:M15" si="3">E16+E17+E18</f>
        <v>138831.38</v>
      </c>
      <c r="F15" s="249">
        <f t="shared" si="3"/>
        <v>138831.38</v>
      </c>
      <c r="G15" s="249">
        <f t="shared" si="3"/>
        <v>127196.45</v>
      </c>
      <c r="H15" s="249">
        <f t="shared" si="3"/>
        <v>11634.930000000008</v>
      </c>
      <c r="I15" s="249">
        <f t="shared" si="3"/>
        <v>0</v>
      </c>
      <c r="J15" s="249">
        <f t="shared" si="3"/>
        <v>0</v>
      </c>
      <c r="K15" s="249">
        <f t="shared" si="3"/>
        <v>0</v>
      </c>
      <c r="L15" s="249">
        <f t="shared" si="3"/>
        <v>0</v>
      </c>
      <c r="M15" s="249">
        <f t="shared" si="3"/>
        <v>0</v>
      </c>
      <c r="N15" s="254">
        <f t="shared" si="1"/>
        <v>36.534573684210528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</row>
    <row r="16" spans="1:33" s="72" customFormat="1" ht="12.75" customHeight="1">
      <c r="A16" s="503" t="s">
        <v>12</v>
      </c>
      <c r="B16" s="60">
        <v>71013</v>
      </c>
      <c r="C16" s="55" t="s">
        <v>104</v>
      </c>
      <c r="D16" s="251">
        <v>85000</v>
      </c>
      <c r="E16" s="251">
        <v>0</v>
      </c>
      <c r="F16" s="251"/>
      <c r="G16" s="251"/>
      <c r="H16" s="251"/>
      <c r="I16" s="251"/>
      <c r="J16" s="251"/>
      <c r="K16" s="251"/>
      <c r="L16" s="251"/>
      <c r="M16" s="252"/>
      <c r="N16" s="316">
        <f t="shared" si="1"/>
        <v>0</v>
      </c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</row>
    <row r="17" spans="1:33" s="72" customFormat="1" ht="12.75" customHeight="1">
      <c r="A17" s="504"/>
      <c r="B17" s="60">
        <v>71014</v>
      </c>
      <c r="C17" s="57" t="s">
        <v>72</v>
      </c>
      <c r="D17" s="251">
        <v>22000</v>
      </c>
      <c r="E17" s="251">
        <v>0</v>
      </c>
      <c r="F17" s="251"/>
      <c r="G17" s="251"/>
      <c r="H17" s="251"/>
      <c r="I17" s="251"/>
      <c r="J17" s="251"/>
      <c r="K17" s="251"/>
      <c r="L17" s="251"/>
      <c r="M17" s="252"/>
      <c r="N17" s="316">
        <f t="shared" si="1"/>
        <v>0</v>
      </c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</row>
    <row r="18" spans="1:33" s="72" customFormat="1" ht="13.5" customHeight="1">
      <c r="A18" s="505"/>
      <c r="B18" s="60">
        <v>71015</v>
      </c>
      <c r="C18" s="57" t="s">
        <v>73</v>
      </c>
      <c r="D18" s="251">
        <v>273000</v>
      </c>
      <c r="E18" s="251">
        <v>138831.38</v>
      </c>
      <c r="F18" s="251">
        <f>E18</f>
        <v>138831.38</v>
      </c>
      <c r="G18" s="251">
        <f>34262.4+58439.43+15360.54+17183.91+1950.17</f>
        <v>127196.45</v>
      </c>
      <c r="H18" s="251">
        <f>F18-G18</f>
        <v>11634.930000000008</v>
      </c>
      <c r="I18" s="251"/>
      <c r="J18" s="251"/>
      <c r="K18" s="251"/>
      <c r="L18" s="251"/>
      <c r="M18" s="252"/>
      <c r="N18" s="316">
        <f t="shared" si="1"/>
        <v>50.853985347985351</v>
      </c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</row>
    <row r="19" spans="1:33" s="48" customFormat="1" ht="12">
      <c r="A19" s="61">
        <v>750</v>
      </c>
      <c r="B19" s="51"/>
      <c r="C19" s="56" t="s">
        <v>31</v>
      </c>
      <c r="D19" s="249">
        <f>D20+D21</f>
        <v>125200</v>
      </c>
      <c r="E19" s="249">
        <f t="shared" ref="E19:M19" si="4">E20+E21</f>
        <v>76182.66</v>
      </c>
      <c r="F19" s="249">
        <f t="shared" si="4"/>
        <v>76182.66</v>
      </c>
      <c r="G19" s="249">
        <f t="shared" si="4"/>
        <v>72002.02</v>
      </c>
      <c r="H19" s="249">
        <f t="shared" si="4"/>
        <v>4180.6399999999994</v>
      </c>
      <c r="I19" s="249">
        <f t="shared" si="4"/>
        <v>0</v>
      </c>
      <c r="J19" s="249">
        <f t="shared" si="4"/>
        <v>0</v>
      </c>
      <c r="K19" s="249">
        <f t="shared" si="4"/>
        <v>0</v>
      </c>
      <c r="L19" s="249">
        <f t="shared" si="4"/>
        <v>0</v>
      </c>
      <c r="M19" s="249">
        <f t="shared" si="4"/>
        <v>0</v>
      </c>
      <c r="N19" s="254">
        <f t="shared" si="1"/>
        <v>60.848769968051123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</row>
    <row r="20" spans="1:33" s="72" customFormat="1" ht="12">
      <c r="A20" s="503" t="s">
        <v>12</v>
      </c>
      <c r="B20" s="60">
        <v>75011</v>
      </c>
      <c r="C20" s="57" t="s">
        <v>75</v>
      </c>
      <c r="D20" s="251">
        <v>105200</v>
      </c>
      <c r="E20" s="251">
        <v>57377</v>
      </c>
      <c r="F20" s="251">
        <f>E20</f>
        <v>57377</v>
      </c>
      <c r="G20" s="251">
        <f>F20</f>
        <v>57377</v>
      </c>
      <c r="H20" s="251">
        <v>0</v>
      </c>
      <c r="I20" s="251"/>
      <c r="J20" s="251"/>
      <c r="K20" s="251"/>
      <c r="L20" s="251"/>
      <c r="M20" s="252"/>
      <c r="N20" s="316">
        <f t="shared" si="1"/>
        <v>54.54087452471483</v>
      </c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</row>
    <row r="21" spans="1:33" s="72" customFormat="1" ht="12.75" customHeight="1">
      <c r="A21" s="505"/>
      <c r="B21" s="60">
        <v>75045</v>
      </c>
      <c r="C21" s="57" t="s">
        <v>77</v>
      </c>
      <c r="D21" s="251">
        <v>20000</v>
      </c>
      <c r="E21" s="251">
        <v>18805.66</v>
      </c>
      <c r="F21" s="251">
        <f>E21</f>
        <v>18805.66</v>
      </c>
      <c r="G21" s="253">
        <f>483.06+51.96+14090</f>
        <v>14625.02</v>
      </c>
      <c r="H21" s="251">
        <f>F21-G21-J21</f>
        <v>4180.6399999999994</v>
      </c>
      <c r="I21" s="251"/>
      <c r="J21" s="251">
        <v>0</v>
      </c>
      <c r="K21" s="251"/>
      <c r="L21" s="251"/>
      <c r="M21" s="252"/>
      <c r="N21" s="316">
        <f t="shared" si="1"/>
        <v>94.028300000000002</v>
      </c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</row>
    <row r="22" spans="1:33" s="48" customFormat="1" ht="12.75" customHeight="1">
      <c r="A22" s="51">
        <v>754</v>
      </c>
      <c r="B22" s="51"/>
      <c r="C22" s="56" t="s">
        <v>106</v>
      </c>
      <c r="D22" s="249">
        <f>D23</f>
        <v>3079000</v>
      </c>
      <c r="E22" s="249">
        <f t="shared" ref="E22:M22" si="5">E23</f>
        <v>1452547.53</v>
      </c>
      <c r="F22" s="249">
        <f t="shared" si="5"/>
        <v>1452547.53</v>
      </c>
      <c r="G22" s="249">
        <f t="shared" si="5"/>
        <v>1196059.1299999999</v>
      </c>
      <c r="H22" s="249">
        <f t="shared" si="5"/>
        <v>212317.21000000014</v>
      </c>
      <c r="I22" s="249">
        <f t="shared" si="5"/>
        <v>0</v>
      </c>
      <c r="J22" s="249">
        <f t="shared" si="5"/>
        <v>44171.19</v>
      </c>
      <c r="K22" s="249">
        <f t="shared" si="5"/>
        <v>0</v>
      </c>
      <c r="L22" s="249">
        <f t="shared" si="5"/>
        <v>0</v>
      </c>
      <c r="M22" s="249">
        <f t="shared" si="5"/>
        <v>0</v>
      </c>
      <c r="N22" s="254">
        <f t="shared" si="1"/>
        <v>47.175950958103279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</row>
    <row r="23" spans="1:33" s="72" customFormat="1" ht="12" customHeight="1">
      <c r="A23" s="65"/>
      <c r="B23" s="60">
        <v>75411</v>
      </c>
      <c r="C23" s="57" t="s">
        <v>108</v>
      </c>
      <c r="D23" s="251">
        <v>3079000</v>
      </c>
      <c r="E23" s="251">
        <v>1452547.53</v>
      </c>
      <c r="F23" s="251">
        <f>E23</f>
        <v>1452547.53</v>
      </c>
      <c r="G23" s="251">
        <f>33574.7+5524.7+947870.02+54404.72+147498.55+6228.51+957.93</f>
        <v>1196059.1299999999</v>
      </c>
      <c r="H23" s="251">
        <f>F23-G23-J23</f>
        <v>212317.21000000014</v>
      </c>
      <c r="I23" s="251"/>
      <c r="J23" s="251">
        <v>44171.19</v>
      </c>
      <c r="K23" s="251"/>
      <c r="L23" s="251"/>
      <c r="M23" s="252"/>
      <c r="N23" s="316">
        <f t="shared" si="1"/>
        <v>47.175950958103279</v>
      </c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</row>
    <row r="24" spans="1:33" s="48" customFormat="1" ht="13.5" customHeight="1">
      <c r="A24" s="51">
        <v>851</v>
      </c>
      <c r="B24" s="51"/>
      <c r="C24" s="62" t="s">
        <v>34</v>
      </c>
      <c r="D24" s="249">
        <f>D25</f>
        <v>1926000</v>
      </c>
      <c r="E24" s="249">
        <f t="shared" ref="E24:M24" si="6">E25</f>
        <v>1247084.81</v>
      </c>
      <c r="F24" s="249">
        <f t="shared" si="6"/>
        <v>1247084.81</v>
      </c>
      <c r="G24" s="249">
        <f t="shared" si="6"/>
        <v>0</v>
      </c>
      <c r="H24" s="249">
        <f t="shared" si="6"/>
        <v>1247084.81</v>
      </c>
      <c r="I24" s="249">
        <f t="shared" si="6"/>
        <v>0</v>
      </c>
      <c r="J24" s="249">
        <f t="shared" si="6"/>
        <v>0</v>
      </c>
      <c r="K24" s="249">
        <f t="shared" si="6"/>
        <v>0</v>
      </c>
      <c r="L24" s="249">
        <f t="shared" si="6"/>
        <v>0</v>
      </c>
      <c r="M24" s="249">
        <f t="shared" si="6"/>
        <v>0</v>
      </c>
      <c r="N24" s="254">
        <f t="shared" si="1"/>
        <v>64.749990134994803</v>
      </c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</row>
    <row r="25" spans="1:33" s="72" customFormat="1" ht="12">
      <c r="A25" s="65"/>
      <c r="B25" s="60">
        <v>85156</v>
      </c>
      <c r="C25" s="63" t="s">
        <v>87</v>
      </c>
      <c r="D25" s="251">
        <v>1926000</v>
      </c>
      <c r="E25" s="251">
        <v>1247084.81</v>
      </c>
      <c r="F25" s="251">
        <f>E25</f>
        <v>1247084.81</v>
      </c>
      <c r="G25" s="251"/>
      <c r="H25" s="251">
        <f>F25</f>
        <v>1247084.81</v>
      </c>
      <c r="I25" s="251"/>
      <c r="J25" s="251"/>
      <c r="K25" s="251"/>
      <c r="L25" s="251"/>
      <c r="M25" s="252"/>
      <c r="N25" s="316">
        <f t="shared" si="1"/>
        <v>64.749990134994803</v>
      </c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</row>
    <row r="26" spans="1:33" s="48" customFormat="1" ht="12">
      <c r="A26" s="51">
        <v>852</v>
      </c>
      <c r="B26" s="51"/>
      <c r="C26" s="56" t="s">
        <v>35</v>
      </c>
      <c r="D26" s="249">
        <f>SUM(D27:D28)</f>
        <v>751500</v>
      </c>
      <c r="E26" s="249">
        <f t="shared" ref="E26:M26" si="7">SUM(E27:E28)</f>
        <v>370541.2</v>
      </c>
      <c r="F26" s="249">
        <f t="shared" si="7"/>
        <v>370541.2</v>
      </c>
      <c r="G26" s="249">
        <f t="shared" si="7"/>
        <v>295378.63</v>
      </c>
      <c r="H26" s="249">
        <f t="shared" si="7"/>
        <v>74846.63</v>
      </c>
      <c r="I26" s="249">
        <f t="shared" si="7"/>
        <v>0</v>
      </c>
      <c r="J26" s="249">
        <f t="shared" si="7"/>
        <v>315.94</v>
      </c>
      <c r="K26" s="249">
        <f t="shared" si="7"/>
        <v>0</v>
      </c>
      <c r="L26" s="249">
        <f t="shared" si="7"/>
        <v>0</v>
      </c>
      <c r="M26" s="249">
        <f t="shared" si="7"/>
        <v>0</v>
      </c>
      <c r="N26" s="254">
        <f t="shared" si="1"/>
        <v>49.306879574184961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</row>
    <row r="27" spans="1:33" s="72" customFormat="1" ht="12">
      <c r="A27" s="503"/>
      <c r="B27" s="60">
        <v>85203</v>
      </c>
      <c r="C27" s="57" t="s">
        <v>90</v>
      </c>
      <c r="D27" s="251">
        <v>432000</v>
      </c>
      <c r="E27" s="251">
        <v>229062.03</v>
      </c>
      <c r="F27" s="253">
        <f>E27</f>
        <v>229062.03</v>
      </c>
      <c r="G27" s="253">
        <f>138640.41+17391.41+24235.37+1720.86+2400</f>
        <v>184388.05</v>
      </c>
      <c r="H27" s="251">
        <f>F27-G27-J27</f>
        <v>44406.340000000011</v>
      </c>
      <c r="I27" s="251"/>
      <c r="J27" s="251">
        <v>267.64</v>
      </c>
      <c r="K27" s="251"/>
      <c r="L27" s="251"/>
      <c r="M27" s="252">
        <v>0</v>
      </c>
      <c r="N27" s="316">
        <f t="shared" si="1"/>
        <v>53.023618055555552</v>
      </c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</row>
    <row r="28" spans="1:33" s="72" customFormat="1" ht="22.5">
      <c r="A28" s="505"/>
      <c r="B28" s="60">
        <v>85205</v>
      </c>
      <c r="C28" s="182" t="s">
        <v>219</v>
      </c>
      <c r="D28" s="251">
        <v>319500</v>
      </c>
      <c r="E28" s="251">
        <v>141479.17000000001</v>
      </c>
      <c r="F28" s="251">
        <f>E28</f>
        <v>141479.17000000001</v>
      </c>
      <c r="G28" s="251">
        <f>70630.1+11827.12+12637.29+1955.07+13941</f>
        <v>110990.58000000002</v>
      </c>
      <c r="H28" s="251">
        <f>F28-G28-J28</f>
        <v>30440.289999999997</v>
      </c>
      <c r="I28" s="251"/>
      <c r="J28" s="251">
        <v>48.3</v>
      </c>
      <c r="K28" s="251"/>
      <c r="L28" s="251"/>
      <c r="M28" s="252"/>
      <c r="N28" s="316">
        <f t="shared" si="1"/>
        <v>44.28143035993741</v>
      </c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</row>
    <row r="29" spans="1:33" s="48" customFormat="1" ht="15" customHeight="1">
      <c r="A29" s="51">
        <v>853</v>
      </c>
      <c r="B29" s="51"/>
      <c r="C29" s="56" t="s">
        <v>115</v>
      </c>
      <c r="D29" s="249">
        <f>D30</f>
        <v>83000</v>
      </c>
      <c r="E29" s="249">
        <f t="shared" ref="E29:M29" si="8">E30</f>
        <v>42945.52</v>
      </c>
      <c r="F29" s="249">
        <f t="shared" si="8"/>
        <v>42945.52</v>
      </c>
      <c r="G29" s="249">
        <f t="shared" si="8"/>
        <v>32574.52</v>
      </c>
      <c r="H29" s="249">
        <f t="shared" si="8"/>
        <v>10370.999999999996</v>
      </c>
      <c r="I29" s="249">
        <f t="shared" si="8"/>
        <v>0</v>
      </c>
      <c r="J29" s="249">
        <f t="shared" si="8"/>
        <v>0</v>
      </c>
      <c r="K29" s="249">
        <f t="shared" si="8"/>
        <v>0</v>
      </c>
      <c r="L29" s="249">
        <f t="shared" si="8"/>
        <v>0</v>
      </c>
      <c r="M29" s="249">
        <f t="shared" si="8"/>
        <v>0</v>
      </c>
      <c r="N29" s="254">
        <f t="shared" si="1"/>
        <v>51.74159036144578</v>
      </c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</row>
    <row r="30" spans="1:33" s="72" customFormat="1" ht="12" customHeight="1">
      <c r="A30" s="53"/>
      <c r="B30" s="53">
        <v>85321</v>
      </c>
      <c r="C30" s="57" t="s">
        <v>116</v>
      </c>
      <c r="D30" s="251">
        <v>83000</v>
      </c>
      <c r="E30" s="251">
        <v>42945.52</v>
      </c>
      <c r="F30" s="251">
        <f>E30</f>
        <v>42945.52</v>
      </c>
      <c r="G30" s="251">
        <f>18192+2957.66+3418.62+531.24+7475</f>
        <v>32574.52</v>
      </c>
      <c r="H30" s="251">
        <f>F30-G30</f>
        <v>10370.999999999996</v>
      </c>
      <c r="I30" s="251"/>
      <c r="J30" s="251"/>
      <c r="K30" s="251"/>
      <c r="L30" s="251"/>
      <c r="M30" s="252"/>
      <c r="N30" s="316">
        <f t="shared" si="1"/>
        <v>51.74159036144578</v>
      </c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</row>
    <row r="31" spans="1:33" s="48" customFormat="1" ht="12">
      <c r="A31" s="453" t="s">
        <v>26</v>
      </c>
      <c r="B31" s="453"/>
      <c r="C31" s="453"/>
      <c r="D31" s="250">
        <f>D11+D13+D15+D19+D22+D24+D26+D29</f>
        <v>6404700</v>
      </c>
      <c r="E31" s="250">
        <f t="shared" ref="E31:M31" si="9">E11+E13+E15+E19+E22+E24+E26+E29</f>
        <v>3341341.0000000005</v>
      </c>
      <c r="F31" s="250">
        <f t="shared" si="9"/>
        <v>3341341.0000000005</v>
      </c>
      <c r="G31" s="250">
        <f t="shared" si="9"/>
        <v>1723210.75</v>
      </c>
      <c r="H31" s="250">
        <f t="shared" si="9"/>
        <v>1573643.12</v>
      </c>
      <c r="I31" s="250">
        <f t="shared" si="9"/>
        <v>0</v>
      </c>
      <c r="J31" s="250">
        <f t="shared" si="9"/>
        <v>44487.130000000005</v>
      </c>
      <c r="K31" s="250">
        <f t="shared" si="9"/>
        <v>0</v>
      </c>
      <c r="L31" s="250">
        <f t="shared" si="9"/>
        <v>0</v>
      </c>
      <c r="M31" s="250">
        <f t="shared" si="9"/>
        <v>0</v>
      </c>
      <c r="N31" s="254">
        <f t="shared" si="1"/>
        <v>52.170140677939649</v>
      </c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</row>
  </sheetData>
  <mergeCells count="18">
    <mergeCell ref="D1:N1"/>
    <mergeCell ref="A2:N2"/>
    <mergeCell ref="A3:N3"/>
    <mergeCell ref="A4:N4"/>
    <mergeCell ref="A5:N5"/>
    <mergeCell ref="A31:C31"/>
    <mergeCell ref="N7:N9"/>
    <mergeCell ref="M8:M9"/>
    <mergeCell ref="F8:F9"/>
    <mergeCell ref="D7:D9"/>
    <mergeCell ref="F7:M7"/>
    <mergeCell ref="A7:A9"/>
    <mergeCell ref="B7:B9"/>
    <mergeCell ref="C7:C9"/>
    <mergeCell ref="E7:E9"/>
    <mergeCell ref="A16:A18"/>
    <mergeCell ref="A20:A21"/>
    <mergeCell ref="A27:A28"/>
  </mergeCells>
  <phoneticPr fontId="0" type="noConversion"/>
  <pageMargins left="0.78740157480314965" right="0.19685039370078741" top="0.74803149606299213" bottom="0.78740157480314965" header="0.27559055118110237" footer="0.51181102362204722"/>
  <pageSetup paperSize="9" orientation="landscape" r:id="rId1"/>
  <headerFooter alignWithMargins="0">
    <oddFooter>&amp;C&amp;"Times New (W1),Normalny"Tabela Nr 12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AG16"/>
  <sheetViews>
    <sheetView view="pageLayout" workbookViewId="0">
      <selection activeCell="J12" sqref="J12"/>
    </sheetView>
  </sheetViews>
  <sheetFormatPr defaultRowHeight="12.75"/>
  <cols>
    <col min="1" max="1" width="5" customWidth="1"/>
    <col min="2" max="2" width="6.5703125" customWidth="1"/>
    <col min="3" max="3" width="21.5703125" customWidth="1"/>
    <col min="4" max="4" width="8.7109375" customWidth="1"/>
    <col min="5" max="5" width="7" customWidth="1"/>
    <col min="6" max="6" width="10" customWidth="1"/>
    <col min="7" max="7" width="12.7109375" customWidth="1"/>
    <col min="8" max="10" width="8.42578125" customWidth="1"/>
    <col min="11" max="11" width="11" customWidth="1"/>
    <col min="12" max="12" width="8.28515625" customWidth="1"/>
    <col min="13" max="13" width="8.140625" customWidth="1"/>
  </cols>
  <sheetData>
    <row r="1" spans="1:33">
      <c r="A1" s="42"/>
      <c r="B1" s="42"/>
      <c r="C1" s="42"/>
      <c r="D1" s="42"/>
      <c r="E1" s="42"/>
      <c r="F1" s="42"/>
      <c r="G1" s="42"/>
      <c r="H1" s="42"/>
      <c r="I1" s="42"/>
      <c r="J1" s="42"/>
      <c r="K1" s="454" t="s">
        <v>302</v>
      </c>
      <c r="L1" s="454"/>
      <c r="M1" s="454"/>
      <c r="N1" s="454"/>
    </row>
    <row r="2" spans="1:3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33">
      <c r="A3" s="412" t="s">
        <v>7</v>
      </c>
      <c r="B3" s="412"/>
      <c r="C3" s="412"/>
      <c r="D3" s="412"/>
      <c r="E3" s="412"/>
      <c r="F3" s="412"/>
      <c r="G3" s="412"/>
      <c r="H3" s="412"/>
      <c r="I3" s="412"/>
      <c r="J3" s="412"/>
      <c r="K3" s="412"/>
      <c r="L3" s="412"/>
      <c r="M3" s="412"/>
      <c r="N3" s="412"/>
    </row>
    <row r="4" spans="1:33">
      <c r="A4" s="412" t="s">
        <v>3</v>
      </c>
      <c r="B4" s="412"/>
      <c r="C4" s="412"/>
      <c r="D4" s="412"/>
      <c r="E4" s="412"/>
      <c r="F4" s="412"/>
      <c r="G4" s="412"/>
      <c r="H4" s="412"/>
      <c r="I4" s="412"/>
      <c r="J4" s="412"/>
      <c r="K4" s="412"/>
      <c r="L4" s="412"/>
      <c r="M4" s="412"/>
      <c r="N4" s="412"/>
    </row>
    <row r="5" spans="1:33" ht="15.75" customHeight="1">
      <c r="A5" s="506" t="s">
        <v>6</v>
      </c>
      <c r="B5" s="506"/>
      <c r="C5" s="506"/>
      <c r="D5" s="506"/>
      <c r="E5" s="506"/>
      <c r="F5" s="506"/>
      <c r="G5" s="506"/>
      <c r="H5" s="506"/>
      <c r="I5" s="506"/>
      <c r="J5" s="506"/>
      <c r="K5" s="506"/>
      <c r="L5" s="506"/>
      <c r="M5" s="506"/>
      <c r="N5" s="506"/>
    </row>
    <row r="6" spans="1:33">
      <c r="A6" s="412" t="s">
        <v>315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2"/>
      <c r="M6" s="412"/>
      <c r="N6" s="412"/>
    </row>
    <row r="7" spans="1:33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</row>
    <row r="8" spans="1:33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 t="s">
        <v>144</v>
      </c>
    </row>
    <row r="9" spans="1:33" s="6" customFormat="1" ht="12.75" customHeight="1">
      <c r="A9" s="397" t="s">
        <v>0</v>
      </c>
      <c r="B9" s="397" t="s">
        <v>8</v>
      </c>
      <c r="C9" s="397" t="s">
        <v>1</v>
      </c>
      <c r="D9" s="397" t="s">
        <v>158</v>
      </c>
      <c r="E9" s="397" t="s">
        <v>127</v>
      </c>
      <c r="F9" s="501" t="s">
        <v>150</v>
      </c>
      <c r="G9" s="502"/>
      <c r="H9" s="502"/>
      <c r="I9" s="502"/>
      <c r="J9" s="502"/>
      <c r="K9" s="502"/>
      <c r="L9" s="502"/>
      <c r="M9" s="502"/>
      <c r="N9" s="498" t="s">
        <v>124</v>
      </c>
    </row>
    <row r="10" spans="1:33" s="6" customFormat="1" ht="12.75" customHeight="1">
      <c r="A10" s="398"/>
      <c r="B10" s="398"/>
      <c r="C10" s="398"/>
      <c r="D10" s="398"/>
      <c r="E10" s="398"/>
      <c r="F10" s="397" t="s">
        <v>9</v>
      </c>
      <c r="G10" s="73" t="s">
        <v>10</v>
      </c>
      <c r="H10" s="73"/>
      <c r="I10" s="73"/>
      <c r="J10" s="73"/>
      <c r="K10" s="73"/>
      <c r="L10" s="74"/>
      <c r="M10" s="499" t="s">
        <v>149</v>
      </c>
      <c r="N10" s="498"/>
    </row>
    <row r="11" spans="1:33" s="6" customFormat="1" ht="36" customHeight="1">
      <c r="A11" s="399"/>
      <c r="B11" s="399"/>
      <c r="C11" s="399"/>
      <c r="D11" s="399"/>
      <c r="E11" s="399"/>
      <c r="F11" s="399"/>
      <c r="G11" s="123" t="s">
        <v>221</v>
      </c>
      <c r="H11" s="123" t="s">
        <v>224</v>
      </c>
      <c r="I11" s="123" t="s">
        <v>222</v>
      </c>
      <c r="J11" s="123" t="s">
        <v>350</v>
      </c>
      <c r="K11" s="232" t="s">
        <v>223</v>
      </c>
      <c r="L11" s="123" t="s">
        <v>11</v>
      </c>
      <c r="M11" s="500"/>
      <c r="N11" s="498"/>
    </row>
    <row r="12" spans="1:33" s="66" customFormat="1" ht="11.25">
      <c r="A12" s="49">
        <v>1</v>
      </c>
      <c r="B12" s="49">
        <v>2</v>
      </c>
      <c r="C12" s="49">
        <v>3</v>
      </c>
      <c r="D12" s="49">
        <v>4</v>
      </c>
      <c r="E12" s="49">
        <v>5</v>
      </c>
      <c r="F12" s="49">
        <v>6</v>
      </c>
      <c r="G12" s="49">
        <v>7</v>
      </c>
      <c r="H12" s="49">
        <v>8</v>
      </c>
      <c r="I12" s="187">
        <v>9</v>
      </c>
      <c r="J12" s="187">
        <v>10</v>
      </c>
      <c r="K12" s="187">
        <v>11</v>
      </c>
      <c r="L12" s="187">
        <v>12</v>
      </c>
      <c r="M12" s="187">
        <v>13</v>
      </c>
      <c r="N12" s="187">
        <v>14</v>
      </c>
    </row>
    <row r="13" spans="1:33" s="48" customFormat="1" ht="12">
      <c r="A13" s="51">
        <v>750</v>
      </c>
      <c r="B13" s="51"/>
      <c r="C13" s="56" t="s">
        <v>31</v>
      </c>
      <c r="D13" s="374">
        <f>D14</f>
        <v>500</v>
      </c>
      <c r="E13" s="138">
        <f>E14</f>
        <v>0</v>
      </c>
      <c r="F13" s="138">
        <f>F14</f>
        <v>0</v>
      </c>
      <c r="G13" s="75"/>
      <c r="H13" s="75"/>
      <c r="I13" s="75"/>
      <c r="J13" s="75"/>
      <c r="K13" s="75"/>
      <c r="L13" s="75"/>
      <c r="M13" s="75"/>
      <c r="N13" s="141">
        <f>(F13+M13)/D13*100</f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</row>
    <row r="14" spans="1:33" s="72" customFormat="1" ht="12">
      <c r="A14" s="65"/>
      <c r="B14" s="60">
        <v>75045</v>
      </c>
      <c r="C14" s="57" t="s">
        <v>303</v>
      </c>
      <c r="D14" s="375">
        <v>500</v>
      </c>
      <c r="E14" s="139">
        <v>0</v>
      </c>
      <c r="F14" s="139">
        <v>0</v>
      </c>
      <c r="G14" s="76"/>
      <c r="H14" s="77"/>
      <c r="I14" s="77"/>
      <c r="J14" s="77"/>
      <c r="K14" s="77"/>
      <c r="L14" s="77"/>
      <c r="M14" s="78"/>
      <c r="N14" s="142">
        <f>(F14+M14)/D14*100</f>
        <v>0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</row>
    <row r="15" spans="1:33" s="48" customFormat="1" ht="12">
      <c r="A15" s="453" t="s">
        <v>26</v>
      </c>
      <c r="B15" s="453"/>
      <c r="C15" s="453"/>
      <c r="D15" s="376">
        <f>D13</f>
        <v>500</v>
      </c>
      <c r="E15" s="140">
        <f>E13</f>
        <v>0</v>
      </c>
      <c r="F15" s="140">
        <f>F13</f>
        <v>0</v>
      </c>
      <c r="G15" s="79"/>
      <c r="H15" s="79"/>
      <c r="I15" s="79"/>
      <c r="J15" s="79"/>
      <c r="K15" s="79"/>
      <c r="L15" s="79"/>
      <c r="M15" s="79"/>
      <c r="N15" s="141">
        <f>(F15+M15)/D15*100</f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</row>
    <row r="16" spans="1:33">
      <c r="G16" s="39"/>
    </row>
  </sheetData>
  <mergeCells count="15">
    <mergeCell ref="K1:N1"/>
    <mergeCell ref="D9:D11"/>
    <mergeCell ref="A3:N3"/>
    <mergeCell ref="A4:N4"/>
    <mergeCell ref="A5:N5"/>
    <mergeCell ref="A6:N6"/>
    <mergeCell ref="E9:E11"/>
    <mergeCell ref="A15:C15"/>
    <mergeCell ref="N9:N11"/>
    <mergeCell ref="M10:M11"/>
    <mergeCell ref="F10:F11"/>
    <mergeCell ref="F9:M9"/>
    <mergeCell ref="A9:A11"/>
    <mergeCell ref="B9:B11"/>
    <mergeCell ref="C9:C11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landscape" r:id="rId1"/>
  <headerFooter alignWithMargins="0">
    <oddFooter>&amp;C&amp;"Times New (W1),Normalny"Tabela Nr 13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E26"/>
  <sheetViews>
    <sheetView tabSelected="1" view="pageLayout" workbookViewId="0">
      <selection activeCell="E46" sqref="E46:E50"/>
    </sheetView>
  </sheetViews>
  <sheetFormatPr defaultRowHeight="12.75"/>
  <cols>
    <col min="1" max="1" width="7.140625" customWidth="1"/>
    <col min="2" max="2" width="33.42578125" customWidth="1"/>
    <col min="3" max="3" width="10.5703125" customWidth="1"/>
    <col min="4" max="4" width="15.7109375" customWidth="1"/>
    <col min="5" max="5" width="14.5703125" customWidth="1"/>
  </cols>
  <sheetData>
    <row r="1" spans="1:5">
      <c r="A1" s="255"/>
      <c r="B1" s="255"/>
      <c r="C1" s="255"/>
      <c r="D1" s="255"/>
      <c r="E1" s="256" t="s">
        <v>346</v>
      </c>
    </row>
    <row r="2" spans="1:5" ht="15.75">
      <c r="A2" s="480" t="s">
        <v>227</v>
      </c>
      <c r="B2" s="507"/>
      <c r="C2" s="507"/>
      <c r="D2" s="507"/>
      <c r="E2" s="507"/>
    </row>
    <row r="3" spans="1:5" ht="15.75">
      <c r="A3" s="507" t="s">
        <v>228</v>
      </c>
      <c r="B3" s="507"/>
      <c r="C3" s="507"/>
      <c r="D3" s="507"/>
      <c r="E3" s="507"/>
    </row>
    <row r="4" spans="1:5" ht="15.75">
      <c r="A4" s="507" t="s">
        <v>325</v>
      </c>
      <c r="B4" s="507"/>
      <c r="C4" s="507"/>
      <c r="D4" s="507"/>
      <c r="E4" s="507"/>
    </row>
    <row r="5" spans="1:5">
      <c r="A5" s="255"/>
      <c r="B5" s="255"/>
      <c r="C5" s="255"/>
      <c r="D5" s="255"/>
      <c r="E5" s="257" t="s">
        <v>165</v>
      </c>
    </row>
    <row r="6" spans="1:5" ht="38.25">
      <c r="A6" s="258" t="s">
        <v>176</v>
      </c>
      <c r="B6" s="258" t="s">
        <v>157</v>
      </c>
      <c r="C6" s="259" t="s">
        <v>229</v>
      </c>
      <c r="D6" s="259" t="s">
        <v>136</v>
      </c>
      <c r="E6" s="259" t="s">
        <v>260</v>
      </c>
    </row>
    <row r="7" spans="1:5">
      <c r="A7" s="260">
        <v>1</v>
      </c>
      <c r="B7" s="260">
        <v>2</v>
      </c>
      <c r="C7" s="260">
        <v>3</v>
      </c>
      <c r="D7" s="260">
        <v>4</v>
      </c>
      <c r="E7" s="260">
        <v>5</v>
      </c>
    </row>
    <row r="8" spans="1:5">
      <c r="A8" s="508" t="s">
        <v>230</v>
      </c>
      <c r="B8" s="508"/>
      <c r="C8" s="261"/>
      <c r="D8" s="281">
        <f>D9+D10+D16</f>
        <v>16064898.01</v>
      </c>
      <c r="E8" s="262">
        <f>E9+E16</f>
        <v>2504714.41</v>
      </c>
    </row>
    <row r="9" spans="1:5">
      <c r="A9" s="263" t="s">
        <v>187</v>
      </c>
      <c r="B9" s="264" t="s">
        <v>231</v>
      </c>
      <c r="C9" s="263" t="s">
        <v>232</v>
      </c>
      <c r="D9" s="277">
        <f>13755729.18-D10</f>
        <v>11469609.18</v>
      </c>
      <c r="E9" s="265">
        <v>195545.58</v>
      </c>
    </row>
    <row r="10" spans="1:5">
      <c r="A10" s="266" t="s">
        <v>188</v>
      </c>
      <c r="B10" s="267" t="s">
        <v>233</v>
      </c>
      <c r="C10" s="266" t="s">
        <v>232</v>
      </c>
      <c r="D10" s="278">
        <v>2286120</v>
      </c>
      <c r="E10" s="268">
        <v>0</v>
      </c>
    </row>
    <row r="11" spans="1:5" ht="38.25">
      <c r="A11" s="266" t="s">
        <v>189</v>
      </c>
      <c r="B11" s="269" t="s">
        <v>259</v>
      </c>
      <c r="C11" s="266" t="s">
        <v>234</v>
      </c>
      <c r="D11" s="278"/>
      <c r="E11" s="268"/>
    </row>
    <row r="12" spans="1:5">
      <c r="A12" s="266" t="s">
        <v>207</v>
      </c>
      <c r="B12" s="267" t="s">
        <v>235</v>
      </c>
      <c r="C12" s="266" t="s">
        <v>236</v>
      </c>
      <c r="D12" s="278"/>
      <c r="E12" s="268"/>
    </row>
    <row r="13" spans="1:5">
      <c r="A13" s="266" t="s">
        <v>208</v>
      </c>
      <c r="B13" s="267" t="s">
        <v>237</v>
      </c>
      <c r="C13" s="266" t="s">
        <v>238</v>
      </c>
      <c r="D13" s="278"/>
      <c r="E13" s="268"/>
    </row>
    <row r="14" spans="1:5">
      <c r="A14" s="266" t="s">
        <v>209</v>
      </c>
      <c r="B14" s="267" t="s">
        <v>239</v>
      </c>
      <c r="C14" s="266" t="s">
        <v>240</v>
      </c>
      <c r="D14" s="278"/>
      <c r="E14" s="268"/>
    </row>
    <row r="15" spans="1:5">
      <c r="A15" s="266" t="s">
        <v>210</v>
      </c>
      <c r="B15" s="267" t="s">
        <v>241</v>
      </c>
      <c r="C15" s="266" t="s">
        <v>242</v>
      </c>
      <c r="D15" s="278"/>
      <c r="E15" s="268"/>
    </row>
    <row r="16" spans="1:5">
      <c r="A16" s="266" t="s">
        <v>211</v>
      </c>
      <c r="B16" s="270" t="s">
        <v>243</v>
      </c>
      <c r="C16" s="271" t="s">
        <v>244</v>
      </c>
      <c r="D16" s="279">
        <v>2309168.83</v>
      </c>
      <c r="E16" s="272">
        <v>2309168.83</v>
      </c>
    </row>
    <row r="17" spans="1:5">
      <c r="A17" s="508" t="s">
        <v>245</v>
      </c>
      <c r="B17" s="508"/>
      <c r="C17" s="261"/>
      <c r="D17" s="280">
        <f>D18+D23</f>
        <v>2000000</v>
      </c>
      <c r="E17" s="262">
        <f>E18+E19+E23</f>
        <v>725000</v>
      </c>
    </row>
    <row r="18" spans="1:5">
      <c r="A18" s="263" t="s">
        <v>187</v>
      </c>
      <c r="B18" s="264" t="s">
        <v>246</v>
      </c>
      <c r="C18" s="263" t="s">
        <v>247</v>
      </c>
      <c r="D18" s="277">
        <v>2000000</v>
      </c>
      <c r="E18" s="265">
        <v>725000</v>
      </c>
    </row>
    <row r="19" spans="1:5">
      <c r="A19" s="266" t="s">
        <v>188</v>
      </c>
      <c r="B19" s="267" t="s">
        <v>248</v>
      </c>
      <c r="C19" s="266" t="s">
        <v>247</v>
      </c>
      <c r="D19" s="278"/>
      <c r="E19" s="268">
        <v>0</v>
      </c>
    </row>
    <row r="20" spans="1:5" ht="51">
      <c r="A20" s="266" t="s">
        <v>189</v>
      </c>
      <c r="B20" s="269" t="s">
        <v>249</v>
      </c>
      <c r="C20" s="266" t="s">
        <v>250</v>
      </c>
      <c r="D20" s="278"/>
      <c r="E20" s="268"/>
    </row>
    <row r="21" spans="1:5">
      <c r="A21" s="266" t="s">
        <v>207</v>
      </c>
      <c r="B21" s="267" t="s">
        <v>251</v>
      </c>
      <c r="C21" s="266" t="s">
        <v>252</v>
      </c>
      <c r="D21" s="278"/>
      <c r="E21" s="268"/>
    </row>
    <row r="22" spans="1:5">
      <c r="A22" s="266" t="s">
        <v>208</v>
      </c>
      <c r="B22" s="267" t="s">
        <v>253</v>
      </c>
      <c r="C22" s="266" t="s">
        <v>254</v>
      </c>
      <c r="D22" s="278"/>
      <c r="E22" s="268"/>
    </row>
    <row r="23" spans="1:5" ht="25.5">
      <c r="A23" s="266" t="s">
        <v>209</v>
      </c>
      <c r="B23" s="269" t="s">
        <v>255</v>
      </c>
      <c r="C23" s="266" t="s">
        <v>256</v>
      </c>
      <c r="D23" s="278">
        <v>0</v>
      </c>
      <c r="E23" s="268">
        <v>0</v>
      </c>
    </row>
    <row r="24" spans="1:5">
      <c r="A24" s="271" t="s">
        <v>210</v>
      </c>
      <c r="B24" s="270" t="s">
        <v>257</v>
      </c>
      <c r="C24" s="271" t="s">
        <v>258</v>
      </c>
      <c r="D24" s="279"/>
      <c r="E24" s="272"/>
    </row>
    <row r="25" spans="1:5">
      <c r="A25" s="273"/>
      <c r="B25" s="274"/>
      <c r="C25" s="274"/>
      <c r="D25" s="274"/>
      <c r="E25" s="274"/>
    </row>
    <row r="26" spans="1:5">
      <c r="A26" s="275"/>
      <c r="B26" s="276"/>
      <c r="C26" s="276"/>
      <c r="D26" s="276"/>
      <c r="E26" s="276"/>
    </row>
  </sheetData>
  <mergeCells count="5">
    <mergeCell ref="A2:E2"/>
    <mergeCell ref="A3:E3"/>
    <mergeCell ref="A4:E4"/>
    <mergeCell ref="A8:B8"/>
    <mergeCell ref="A17:B17"/>
  </mergeCells>
  <pageMargins left="0.7" right="0.7" top="0.75" bottom="0.75" header="0.3" footer="0.3"/>
  <pageSetup paperSize="9" orientation="portrait" r:id="rId1"/>
  <headerFooter>
    <oddFooter>&amp;CTabela Nr 14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L176"/>
  <sheetViews>
    <sheetView topLeftCell="A25" workbookViewId="0">
      <selection activeCell="D30" sqref="D30:D31"/>
    </sheetView>
  </sheetViews>
  <sheetFormatPr defaultRowHeight="12.75"/>
  <cols>
    <col min="1" max="1" width="7.140625" customWidth="1"/>
    <col min="2" max="2" width="46.7109375" customWidth="1"/>
    <col min="3" max="3" width="13.42578125" customWidth="1"/>
    <col min="4" max="4" width="13.140625" customWidth="1"/>
    <col min="5" max="5" width="7.5703125" customWidth="1"/>
    <col min="8" max="8" width="44.28515625" customWidth="1"/>
    <col min="9" max="9" width="13" hidden="1" customWidth="1"/>
    <col min="10" max="10" width="11.28515625" customWidth="1"/>
  </cols>
  <sheetData>
    <row r="1" spans="1:5">
      <c r="A1" s="82"/>
      <c r="B1" s="82"/>
      <c r="C1" s="82"/>
      <c r="D1" s="82"/>
    </row>
    <row r="2" spans="1:5">
      <c r="A2" s="45" t="s">
        <v>199</v>
      </c>
      <c r="B2" s="45" t="s">
        <v>175</v>
      </c>
      <c r="C2" s="45" t="s">
        <v>136</v>
      </c>
      <c r="D2" s="45" t="s">
        <v>127</v>
      </c>
      <c r="E2" s="143" t="s">
        <v>137</v>
      </c>
    </row>
    <row r="3" spans="1:5" s="115" customFormat="1" ht="10.5">
      <c r="A3" s="145">
        <v>1</v>
      </c>
      <c r="B3" s="145">
        <v>2</v>
      </c>
      <c r="C3" s="145">
        <v>3</v>
      </c>
      <c r="D3" s="145">
        <v>4</v>
      </c>
      <c r="E3" s="176">
        <v>5</v>
      </c>
    </row>
    <row r="4" spans="1:5">
      <c r="A4" s="165" t="s">
        <v>16</v>
      </c>
      <c r="B4" s="109" t="s">
        <v>15</v>
      </c>
      <c r="C4" s="219">
        <v>4813489</v>
      </c>
      <c r="D4" s="227">
        <v>2062135</v>
      </c>
      <c r="E4" s="175">
        <f>D4/C4*100</f>
        <v>42.840754388344919</v>
      </c>
    </row>
    <row r="5" spans="1:5">
      <c r="A5" s="165" t="s">
        <v>52</v>
      </c>
      <c r="B5" s="109" t="s">
        <v>53</v>
      </c>
      <c r="C5" s="217">
        <v>100000</v>
      </c>
      <c r="D5" s="225">
        <v>76263.48</v>
      </c>
      <c r="E5" s="175">
        <f t="shared" ref="E5:E25" si="0">D5/C5*100</f>
        <v>76.263480000000001</v>
      </c>
    </row>
    <row r="6" spans="1:5">
      <c r="A6" s="111" t="s">
        <v>18</v>
      </c>
      <c r="B6" s="169" t="s">
        <v>19</v>
      </c>
      <c r="C6" s="221">
        <v>795820</v>
      </c>
      <c r="D6" s="229">
        <v>373795</v>
      </c>
      <c r="E6" s="175">
        <f t="shared" si="0"/>
        <v>46.969792164057203</v>
      </c>
    </row>
    <row r="7" spans="1:5" ht="22.5">
      <c r="A7" s="165" t="s">
        <v>20</v>
      </c>
      <c r="B7" s="122" t="s">
        <v>23</v>
      </c>
      <c r="C7" s="217">
        <v>7000</v>
      </c>
      <c r="D7" s="225">
        <v>5922.97</v>
      </c>
      <c r="E7" s="175">
        <f t="shared" si="0"/>
        <v>84.613857142857157</v>
      </c>
    </row>
    <row r="8" spans="1:5" ht="22.5">
      <c r="A8" s="111" t="s">
        <v>169</v>
      </c>
      <c r="B8" s="169" t="s">
        <v>170</v>
      </c>
      <c r="C8" s="221">
        <v>630000</v>
      </c>
      <c r="D8" s="229">
        <v>608680.62</v>
      </c>
      <c r="E8" s="175">
        <f t="shared" si="0"/>
        <v>96.615971428571427</v>
      </c>
    </row>
    <row r="9" spans="1:5">
      <c r="A9" s="165" t="s">
        <v>129</v>
      </c>
      <c r="B9" s="122" t="s">
        <v>159</v>
      </c>
      <c r="C9" s="217">
        <v>1000</v>
      </c>
      <c r="D9" s="225">
        <v>1000</v>
      </c>
      <c r="E9" s="175">
        <f t="shared" si="0"/>
        <v>100</v>
      </c>
    </row>
    <row r="10" spans="1:5" ht="22.5">
      <c r="A10" s="165" t="s">
        <v>147</v>
      </c>
      <c r="B10" s="122" t="s">
        <v>156</v>
      </c>
      <c r="C10" s="217">
        <v>3000</v>
      </c>
      <c r="D10" s="225">
        <v>5126.3</v>
      </c>
      <c r="E10" s="175">
        <f t="shared" si="0"/>
        <v>170.87666666666667</v>
      </c>
    </row>
    <row r="11" spans="1:5">
      <c r="A11" s="165" t="s">
        <v>37</v>
      </c>
      <c r="B11" s="109" t="s">
        <v>38</v>
      </c>
      <c r="C11" s="349">
        <f>SUM(I104:I110)</f>
        <v>162083</v>
      </c>
      <c r="D11" s="349">
        <f>SUM(J104:J110)</f>
        <v>43354.61</v>
      </c>
      <c r="E11" s="175">
        <f t="shared" si="0"/>
        <v>26.748400510849379</v>
      </c>
    </row>
    <row r="12" spans="1:5" ht="33.75">
      <c r="A12" s="165" t="s">
        <v>21</v>
      </c>
      <c r="B12" s="122" t="s">
        <v>166</v>
      </c>
      <c r="C12" s="349">
        <f>SUM(I111:I123)</f>
        <v>294641.76</v>
      </c>
      <c r="D12" s="349">
        <f>SUM(J111:J123)</f>
        <v>191937.82</v>
      </c>
      <c r="E12" s="175">
        <f t="shared" si="0"/>
        <v>65.142775416492213</v>
      </c>
    </row>
    <row r="13" spans="1:5" ht="22.5">
      <c r="A13" s="177" t="s">
        <v>22</v>
      </c>
      <c r="B13" s="178" t="s">
        <v>60</v>
      </c>
      <c r="C13" s="217">
        <v>880000</v>
      </c>
      <c r="D13" s="225">
        <v>0</v>
      </c>
      <c r="E13" s="175">
        <f t="shared" si="0"/>
        <v>0</v>
      </c>
    </row>
    <row r="14" spans="1:5">
      <c r="A14" s="177" t="s">
        <v>55</v>
      </c>
      <c r="B14" s="178" t="s">
        <v>57</v>
      </c>
      <c r="C14" s="350">
        <f>SUM(I125:I136)</f>
        <v>605900</v>
      </c>
      <c r="D14" s="350">
        <f>SUM(J125:J136)</f>
        <v>361796.23</v>
      </c>
      <c r="E14" s="175">
        <f t="shared" si="0"/>
        <v>59.712201683446111</v>
      </c>
    </row>
    <row r="15" spans="1:5">
      <c r="A15" s="177" t="s">
        <v>191</v>
      </c>
      <c r="B15" s="178" t="s">
        <v>194</v>
      </c>
      <c r="C15" s="350">
        <f>SUM(I137:I138)</f>
        <v>0</v>
      </c>
      <c r="D15" s="350">
        <f>SUM(J137:J138)</f>
        <v>183</v>
      </c>
      <c r="E15" s="175"/>
    </row>
    <row r="16" spans="1:5" ht="22.5">
      <c r="A16" s="165" t="s">
        <v>192</v>
      </c>
      <c r="B16" s="122" t="s">
        <v>195</v>
      </c>
      <c r="C16" s="217">
        <v>0</v>
      </c>
      <c r="D16" s="225">
        <v>22235.599999999999</v>
      </c>
      <c r="E16" s="175"/>
    </row>
    <row r="17" spans="1:5">
      <c r="A17" s="165" t="s">
        <v>190</v>
      </c>
      <c r="B17" s="122" t="s">
        <v>193</v>
      </c>
      <c r="C17" s="221">
        <v>0</v>
      </c>
      <c r="D17" s="229">
        <v>629.83000000000004</v>
      </c>
      <c r="E17" s="175"/>
    </row>
    <row r="18" spans="1:5">
      <c r="A18" s="165" t="s">
        <v>49</v>
      </c>
      <c r="B18" s="122" t="s">
        <v>59</v>
      </c>
      <c r="C18" s="349">
        <f>SUM(I141:I158)</f>
        <v>75762</v>
      </c>
      <c r="D18" s="349">
        <f>SUM(J141:J158)</f>
        <v>85355.979999999981</v>
      </c>
      <c r="E18" s="175">
        <f t="shared" si="0"/>
        <v>112.66331406245872</v>
      </c>
    </row>
    <row r="19" spans="1:5">
      <c r="A19" s="165" t="s">
        <v>100</v>
      </c>
      <c r="B19" s="122" t="s">
        <v>155</v>
      </c>
      <c r="C19" s="217">
        <v>0</v>
      </c>
      <c r="D19" s="225">
        <v>104</v>
      </c>
      <c r="E19" s="175"/>
    </row>
    <row r="20" spans="1:5">
      <c r="A20" s="165" t="s">
        <v>56</v>
      </c>
      <c r="B20" s="122" t="s">
        <v>58</v>
      </c>
      <c r="C20" s="349">
        <f>SUM(I160:I176)</f>
        <v>304801.91000000003</v>
      </c>
      <c r="D20" s="349">
        <f>SUM(J160:J176)</f>
        <v>326841.48</v>
      </c>
      <c r="E20" s="175">
        <f t="shared" si="0"/>
        <v>107.23078474147356</v>
      </c>
    </row>
    <row r="21" spans="1:5" ht="24" customHeight="1">
      <c r="A21" s="164">
        <v>2360</v>
      </c>
      <c r="B21" s="122" t="s">
        <v>131</v>
      </c>
      <c r="C21" s="349">
        <f>SUM(I73:I76)</f>
        <v>80000</v>
      </c>
      <c r="D21" s="349">
        <f>SUM(J73:J76)</f>
        <v>73077.14</v>
      </c>
      <c r="E21" s="175">
        <f t="shared" si="0"/>
        <v>91.346424999999996</v>
      </c>
    </row>
    <row r="22" spans="1:5" ht="24.75" customHeight="1">
      <c r="A22" s="164">
        <v>2460</v>
      </c>
      <c r="B22" s="122" t="s">
        <v>68</v>
      </c>
      <c r="C22" s="349">
        <f>I77</f>
        <v>270000</v>
      </c>
      <c r="D22" s="349">
        <f>J77</f>
        <v>126874.15</v>
      </c>
      <c r="E22" s="175">
        <f t="shared" si="0"/>
        <v>46.990425925925919</v>
      </c>
    </row>
    <row r="23" spans="1:5" ht="33.75">
      <c r="A23" s="323">
        <v>2690</v>
      </c>
      <c r="B23" s="154" t="s">
        <v>308</v>
      </c>
      <c r="C23" s="225">
        <v>1172800</v>
      </c>
      <c r="D23" s="225">
        <v>587000</v>
      </c>
      <c r="E23" s="175">
        <f t="shared" si="0"/>
        <v>50.051159618008192</v>
      </c>
    </row>
    <row r="24" spans="1:5" ht="22.5">
      <c r="A24" s="165">
        <v>2910</v>
      </c>
      <c r="B24" s="122" t="s">
        <v>134</v>
      </c>
      <c r="C24" s="349">
        <f>SUM(I80:I82)</f>
        <v>0</v>
      </c>
      <c r="D24" s="349">
        <f>SUM(J80:J82)</f>
        <v>109855.21</v>
      </c>
      <c r="E24" s="175"/>
    </row>
    <row r="25" spans="1:5" ht="22.5">
      <c r="A25" s="149">
        <v>6290</v>
      </c>
      <c r="B25" s="118" t="s">
        <v>313</v>
      </c>
      <c r="C25" s="225">
        <v>23000</v>
      </c>
      <c r="D25" s="225">
        <f>12000</f>
        <v>12000</v>
      </c>
      <c r="E25" s="175">
        <f t="shared" si="0"/>
        <v>52.173913043478258</v>
      </c>
    </row>
    <row r="26" spans="1:5">
      <c r="A26" s="510" t="s">
        <v>123</v>
      </c>
      <c r="B26" s="510"/>
      <c r="C26" s="349">
        <f>SUM(C4:C25)</f>
        <v>10219297.67</v>
      </c>
      <c r="D26" s="349">
        <f>SUM(D4:D25)</f>
        <v>5074168.42</v>
      </c>
      <c r="E26" s="175">
        <f t="shared" ref="E26" si="1">D26/C26*100</f>
        <v>49.65280965340547</v>
      </c>
    </row>
    <row r="27" spans="1:5">
      <c r="A27" s="114"/>
      <c r="B27" s="170"/>
      <c r="C27" s="171"/>
      <c r="D27" s="172"/>
    </row>
    <row r="28" spans="1:5">
      <c r="A28" s="45" t="s">
        <v>199</v>
      </c>
      <c r="B28" s="45" t="s">
        <v>175</v>
      </c>
      <c r="C28" s="45" t="s">
        <v>136</v>
      </c>
      <c r="D28" s="45" t="s">
        <v>127</v>
      </c>
      <c r="E28" s="143" t="s">
        <v>137</v>
      </c>
    </row>
    <row r="29" spans="1:5" s="115" customFormat="1" ht="10.5">
      <c r="A29" s="145">
        <v>1</v>
      </c>
      <c r="B29" s="145">
        <v>2</v>
      </c>
      <c r="C29" s="145">
        <v>3</v>
      </c>
      <c r="D29" s="145">
        <v>4</v>
      </c>
      <c r="E29" s="176">
        <v>5</v>
      </c>
    </row>
    <row r="30" spans="1:5" ht="23.25" customHeight="1">
      <c r="A30" s="165">
        <v>2007</v>
      </c>
      <c r="B30" s="426" t="s">
        <v>213</v>
      </c>
      <c r="C30" s="348">
        <f>I52</f>
        <v>1274373.75</v>
      </c>
      <c r="D30" s="348">
        <f>J52</f>
        <v>937779.13</v>
      </c>
      <c r="E30" s="175">
        <f t="shared" ref="E30:E42" si="2">D30/C30*100</f>
        <v>73.587448737075761</v>
      </c>
    </row>
    <row r="31" spans="1:5" ht="24" customHeight="1">
      <c r="A31" s="165">
        <v>2009</v>
      </c>
      <c r="B31" s="427"/>
      <c r="C31" s="348">
        <f>I53</f>
        <v>69819.75</v>
      </c>
      <c r="D31" s="348">
        <f>J53</f>
        <v>52834.31</v>
      </c>
      <c r="E31" s="175">
        <f t="shared" si="2"/>
        <v>75.672442253087411</v>
      </c>
    </row>
    <row r="32" spans="1:5" ht="22.5">
      <c r="A32" s="164">
        <v>2110</v>
      </c>
      <c r="B32" s="122" t="s">
        <v>65</v>
      </c>
      <c r="C32" s="348">
        <f>SUM(I54:I65)</f>
        <v>6402200</v>
      </c>
      <c r="D32" s="348">
        <f>SUM(J54:J65)</f>
        <v>3932836.66</v>
      </c>
      <c r="E32" s="175">
        <f t="shared" si="2"/>
        <v>61.42945643684984</v>
      </c>
    </row>
    <row r="33" spans="1:5" ht="33.75">
      <c r="A33" s="164">
        <v>2120</v>
      </c>
      <c r="B33" s="122" t="s">
        <v>24</v>
      </c>
      <c r="C33" s="348">
        <f>I66</f>
        <v>500</v>
      </c>
      <c r="D33" s="348">
        <f>J66</f>
        <v>0</v>
      </c>
      <c r="E33" s="175">
        <f t="shared" si="2"/>
        <v>0</v>
      </c>
    </row>
    <row r="34" spans="1:5" ht="22.5">
      <c r="A34" s="164">
        <v>2130</v>
      </c>
      <c r="B34" s="122" t="s">
        <v>154</v>
      </c>
      <c r="C34" s="348">
        <f>I67</f>
        <v>1747000</v>
      </c>
      <c r="D34" s="348">
        <f>J67</f>
        <v>826271</v>
      </c>
      <c r="E34" s="175">
        <f t="shared" si="2"/>
        <v>47.296565540927304</v>
      </c>
    </row>
    <row r="35" spans="1:5" ht="24" customHeight="1">
      <c r="A35" s="164">
        <v>2310</v>
      </c>
      <c r="B35" s="110" t="s">
        <v>133</v>
      </c>
      <c r="C35" s="348">
        <f>SUM(I68:I69)</f>
        <v>29364.02</v>
      </c>
      <c r="D35" s="348">
        <f>SUM(J68:J69)</f>
        <v>6395.7</v>
      </c>
      <c r="E35" s="175">
        <f t="shared" si="2"/>
        <v>21.780737106159169</v>
      </c>
    </row>
    <row r="36" spans="1:5" ht="21.75" customHeight="1">
      <c r="A36" s="164">
        <v>2320</v>
      </c>
      <c r="B36" s="122" t="s">
        <v>135</v>
      </c>
      <c r="C36" s="348">
        <f>SUM(I70:I72)</f>
        <v>2289077.2799999998</v>
      </c>
      <c r="D36" s="348">
        <f>SUM(J70:J72)</f>
        <v>1193781.3600000001</v>
      </c>
      <c r="E36" s="175">
        <f t="shared" si="2"/>
        <v>52.151203912171994</v>
      </c>
    </row>
    <row r="37" spans="1:5" ht="33.75">
      <c r="A37" s="190">
        <v>2710</v>
      </c>
      <c r="B37" s="118" t="s">
        <v>309</v>
      </c>
      <c r="C37" s="346">
        <v>500</v>
      </c>
      <c r="D37" s="346">
        <v>500</v>
      </c>
      <c r="E37" s="175">
        <f t="shared" si="2"/>
        <v>100</v>
      </c>
    </row>
    <row r="38" spans="1:5" ht="45">
      <c r="A38" s="149">
        <v>6207</v>
      </c>
      <c r="B38" s="118" t="s">
        <v>213</v>
      </c>
      <c r="C38" s="348">
        <f>SUM(I86:I88)</f>
        <v>1957867.42</v>
      </c>
      <c r="D38" s="348">
        <f>926468.82+37328.92</f>
        <v>963797.74</v>
      </c>
      <c r="E38" s="175">
        <f t="shared" si="2"/>
        <v>49.226915477249221</v>
      </c>
    </row>
    <row r="39" spans="1:5" ht="33.75">
      <c r="A39" s="190">
        <v>6260</v>
      </c>
      <c r="B39" s="118" t="s">
        <v>216</v>
      </c>
      <c r="C39" s="348">
        <f>SUM(I89:I90)</f>
        <v>1143060</v>
      </c>
      <c r="D39" s="348">
        <f>SUM(J89:J90)</f>
        <v>0</v>
      </c>
      <c r="E39" s="175">
        <f t="shared" si="2"/>
        <v>0</v>
      </c>
    </row>
    <row r="40" spans="1:5" ht="33.75">
      <c r="A40" s="109">
        <v>6300</v>
      </c>
      <c r="B40" s="118" t="s">
        <v>310</v>
      </c>
      <c r="C40" s="348">
        <f>SUM(I92:I93)</f>
        <v>120000</v>
      </c>
      <c r="D40" s="348">
        <v>20000</v>
      </c>
      <c r="E40" s="175">
        <f t="shared" si="2"/>
        <v>16.666666666666664</v>
      </c>
    </row>
    <row r="41" spans="1:5" ht="24.75" customHeight="1">
      <c r="A41" s="189">
        <v>6430</v>
      </c>
      <c r="B41" s="118" t="s">
        <v>200</v>
      </c>
      <c r="C41" s="348">
        <f>SUM(I94:I95)</f>
        <v>1289855</v>
      </c>
      <c r="D41" s="348">
        <f>SUM(J94:J95)</f>
        <v>0</v>
      </c>
      <c r="E41" s="175">
        <f t="shared" si="2"/>
        <v>0</v>
      </c>
    </row>
    <row r="42" spans="1:5" ht="33.75">
      <c r="A42" s="325">
        <v>6627</v>
      </c>
      <c r="B42" s="154" t="s">
        <v>215</v>
      </c>
      <c r="C42" s="347">
        <v>254000</v>
      </c>
      <c r="D42" s="347">
        <v>0</v>
      </c>
      <c r="E42" s="175">
        <f t="shared" si="2"/>
        <v>0</v>
      </c>
    </row>
    <row r="43" spans="1:5">
      <c r="A43" s="509" t="s">
        <v>123</v>
      </c>
      <c r="B43" s="509"/>
      <c r="C43" s="329">
        <f>SUM(C30:C42)</f>
        <v>16577617.219999999</v>
      </c>
      <c r="D43" s="329">
        <f>SUM(D30:D42)</f>
        <v>7934195.9000000004</v>
      </c>
      <c r="E43" s="175">
        <f t="shared" ref="E43:E47" si="3">D43/C43*100</f>
        <v>47.860894570709604</v>
      </c>
    </row>
    <row r="44" spans="1:5">
      <c r="A44" s="82"/>
      <c r="B44" s="82"/>
      <c r="C44" s="82"/>
      <c r="D44" s="82"/>
      <c r="E44" s="179"/>
    </row>
    <row r="45" spans="1:5">
      <c r="A45" s="45" t="s">
        <v>199</v>
      </c>
      <c r="B45" s="45" t="s">
        <v>175</v>
      </c>
      <c r="C45" s="45" t="s">
        <v>136</v>
      </c>
      <c r="D45" s="45" t="s">
        <v>127</v>
      </c>
      <c r="E45" s="143" t="s">
        <v>137</v>
      </c>
    </row>
    <row r="46" spans="1:5" s="115" customFormat="1" ht="10.5">
      <c r="A46" s="145">
        <v>1</v>
      </c>
      <c r="B46" s="145">
        <v>2</v>
      </c>
      <c r="C46" s="145">
        <v>3</v>
      </c>
      <c r="D46" s="145">
        <v>4</v>
      </c>
      <c r="E46" s="176">
        <v>5</v>
      </c>
    </row>
    <row r="47" spans="1:5">
      <c r="A47" s="164">
        <v>2920</v>
      </c>
      <c r="B47" s="109" t="s">
        <v>17</v>
      </c>
      <c r="C47" s="345">
        <f>SUM(I83:I85)</f>
        <v>27607321</v>
      </c>
      <c r="D47" s="345">
        <f>SUM(J83:J85)</f>
        <v>15914294</v>
      </c>
      <c r="E47" s="175">
        <f t="shared" si="3"/>
        <v>57.645194910436985</v>
      </c>
    </row>
    <row r="48" spans="1:5">
      <c r="A48" s="82"/>
      <c r="B48" s="82"/>
      <c r="C48" s="82"/>
      <c r="D48" s="82"/>
      <c r="E48" s="179"/>
    </row>
    <row r="49" spans="1:12">
      <c r="A49" s="82"/>
      <c r="B49" s="82"/>
      <c r="C49" s="82"/>
      <c r="D49" s="82"/>
      <c r="E49" s="179"/>
    </row>
    <row r="50" spans="1:12">
      <c r="A50" s="82"/>
      <c r="B50" s="82"/>
      <c r="C50" s="82"/>
      <c r="D50" s="82"/>
      <c r="E50" s="179"/>
    </row>
    <row r="51" spans="1:12">
      <c r="A51" s="82"/>
      <c r="B51" s="82"/>
      <c r="C51" s="173"/>
      <c r="D51" s="173"/>
      <c r="E51" s="179"/>
    </row>
    <row r="52" spans="1:12" ht="45" hidden="1">
      <c r="C52" s="29"/>
      <c r="D52" s="168"/>
      <c r="G52" s="149">
        <v>2007</v>
      </c>
      <c r="H52" s="182" t="s">
        <v>213</v>
      </c>
      <c r="I52" s="217">
        <v>1274373.75</v>
      </c>
      <c r="J52" s="225">
        <v>937779.13</v>
      </c>
      <c r="K52" s="344">
        <v>0</v>
      </c>
      <c r="L52" s="333">
        <f>(J52+K52)/I52*100</f>
        <v>73.587448737075761</v>
      </c>
    </row>
    <row r="53" spans="1:12" hidden="1">
      <c r="G53" s="149">
        <v>2009</v>
      </c>
      <c r="H53" s="182"/>
      <c r="I53" s="217">
        <v>69819.75</v>
      </c>
      <c r="J53" s="225">
        <v>52834.31</v>
      </c>
      <c r="K53" s="344">
        <v>0</v>
      </c>
      <c r="L53" s="333">
        <f>(J53+K53)/I53*100</f>
        <v>75.672442253087411</v>
      </c>
    </row>
    <row r="54" spans="1:12" ht="33.75" hidden="1">
      <c r="G54" s="323">
        <v>2110</v>
      </c>
      <c r="H54" s="118" t="s">
        <v>65</v>
      </c>
      <c r="I54" s="217">
        <v>50000</v>
      </c>
      <c r="J54" s="225">
        <v>24996</v>
      </c>
      <c r="K54" s="231">
        <v>0</v>
      </c>
      <c r="L54" s="333">
        <f t="shared" ref="L54" si="4">(J54+K54)/I54*100</f>
        <v>49.991999999999997</v>
      </c>
    </row>
    <row r="55" spans="1:12" ht="33.75" hidden="1">
      <c r="G55" s="323">
        <v>2110</v>
      </c>
      <c r="H55" s="118" t="s">
        <v>65</v>
      </c>
      <c r="I55" s="217">
        <v>10000</v>
      </c>
      <c r="J55" s="225">
        <v>6110</v>
      </c>
      <c r="K55" s="344">
        <v>0</v>
      </c>
      <c r="L55" s="333">
        <f t="shared" ref="L55:L71" si="5">(J55+K55)/I55*100</f>
        <v>61.1</v>
      </c>
    </row>
    <row r="56" spans="1:12" ht="33.75" hidden="1">
      <c r="G56" s="323">
        <v>2110</v>
      </c>
      <c r="H56" s="118" t="s">
        <v>65</v>
      </c>
      <c r="I56" s="217">
        <v>85000</v>
      </c>
      <c r="J56" s="225">
        <v>42498</v>
      </c>
      <c r="K56" s="344">
        <v>0</v>
      </c>
      <c r="L56" s="333">
        <f t="shared" si="5"/>
        <v>49.997647058823532</v>
      </c>
    </row>
    <row r="57" spans="1:12" ht="33.75" hidden="1">
      <c r="G57" s="323">
        <v>2110</v>
      </c>
      <c r="H57" s="118" t="s">
        <v>65</v>
      </c>
      <c r="I57" s="217">
        <v>22000</v>
      </c>
      <c r="J57" s="225">
        <v>10998</v>
      </c>
      <c r="K57" s="344">
        <v>0</v>
      </c>
      <c r="L57" s="333">
        <f t="shared" si="5"/>
        <v>49.990909090909092</v>
      </c>
    </row>
    <row r="58" spans="1:12" ht="33.75" hidden="1">
      <c r="G58" s="149">
        <v>2110</v>
      </c>
      <c r="H58" s="118" t="s">
        <v>65</v>
      </c>
      <c r="I58" s="217">
        <v>273000</v>
      </c>
      <c r="J58" s="225">
        <v>143618</v>
      </c>
      <c r="K58" s="344">
        <v>0</v>
      </c>
      <c r="L58" s="333">
        <f t="shared" si="5"/>
        <v>52.607326007326009</v>
      </c>
    </row>
    <row r="59" spans="1:12" ht="33.75" hidden="1">
      <c r="G59" s="323">
        <v>2110</v>
      </c>
      <c r="H59" s="118" t="s">
        <v>65</v>
      </c>
      <c r="I59" s="217">
        <v>105200</v>
      </c>
      <c r="J59" s="225">
        <v>57377</v>
      </c>
      <c r="K59" s="344">
        <v>0</v>
      </c>
      <c r="L59" s="333">
        <f t="shared" si="5"/>
        <v>54.54087452471483</v>
      </c>
    </row>
    <row r="60" spans="1:12" ht="33.75" hidden="1">
      <c r="G60" s="323">
        <v>2110</v>
      </c>
      <c r="H60" s="118" t="s">
        <v>65</v>
      </c>
      <c r="I60" s="217">
        <v>20000</v>
      </c>
      <c r="J60" s="225">
        <v>18805.66</v>
      </c>
      <c r="K60" s="225">
        <v>0</v>
      </c>
      <c r="L60" s="333">
        <f t="shared" si="5"/>
        <v>94.028300000000002</v>
      </c>
    </row>
    <row r="61" spans="1:12" ht="33.75" hidden="1">
      <c r="G61" s="323">
        <v>2110</v>
      </c>
      <c r="H61" s="118" t="s">
        <v>65</v>
      </c>
      <c r="I61" s="217">
        <v>3076500</v>
      </c>
      <c r="J61" s="225">
        <v>1915498</v>
      </c>
      <c r="K61" s="225">
        <v>0</v>
      </c>
      <c r="L61" s="333">
        <f t="shared" si="5"/>
        <v>62.262246058833092</v>
      </c>
    </row>
    <row r="62" spans="1:12" ht="33.75" hidden="1">
      <c r="G62" s="323">
        <v>2110</v>
      </c>
      <c r="H62" s="118" t="s">
        <v>65</v>
      </c>
      <c r="I62" s="217">
        <v>1926000</v>
      </c>
      <c r="J62" s="225">
        <v>1263498</v>
      </c>
      <c r="K62" s="225">
        <v>0</v>
      </c>
      <c r="L62" s="333">
        <f t="shared" si="5"/>
        <v>65.602180685358263</v>
      </c>
    </row>
    <row r="63" spans="1:12" ht="33.75" hidden="1">
      <c r="G63" s="323">
        <v>2110</v>
      </c>
      <c r="H63" s="118" t="s">
        <v>65</v>
      </c>
      <c r="I63" s="217">
        <v>432000</v>
      </c>
      <c r="J63" s="225">
        <v>235938</v>
      </c>
      <c r="K63" s="344">
        <v>0</v>
      </c>
      <c r="L63" s="333">
        <f t="shared" si="5"/>
        <v>54.615277777777784</v>
      </c>
    </row>
    <row r="64" spans="1:12" ht="33.75" hidden="1">
      <c r="G64" s="149">
        <v>2110</v>
      </c>
      <c r="H64" s="118" t="s">
        <v>65</v>
      </c>
      <c r="I64" s="217">
        <v>319500</v>
      </c>
      <c r="J64" s="225">
        <v>169500</v>
      </c>
      <c r="K64" s="225">
        <v>0</v>
      </c>
      <c r="L64" s="333">
        <f t="shared" si="5"/>
        <v>53.051643192488264</v>
      </c>
    </row>
    <row r="65" spans="7:12" ht="33.75" hidden="1">
      <c r="G65" s="323">
        <v>2110</v>
      </c>
      <c r="H65" s="118" t="s">
        <v>65</v>
      </c>
      <c r="I65" s="217">
        <v>83000</v>
      </c>
      <c r="J65" s="225">
        <v>44000</v>
      </c>
      <c r="K65" s="225">
        <v>0</v>
      </c>
      <c r="L65" s="333">
        <f t="shared" si="5"/>
        <v>53.01204819277109</v>
      </c>
    </row>
    <row r="66" spans="7:12" ht="33.75" hidden="1">
      <c r="G66" s="323">
        <v>2120</v>
      </c>
      <c r="H66" s="118" t="s">
        <v>24</v>
      </c>
      <c r="I66" s="217">
        <v>500</v>
      </c>
      <c r="J66" s="225">
        <v>0</v>
      </c>
      <c r="K66" s="225">
        <v>0</v>
      </c>
      <c r="L66" s="333">
        <f t="shared" si="5"/>
        <v>0</v>
      </c>
    </row>
    <row r="67" spans="7:12" ht="22.5" hidden="1">
      <c r="G67" s="323">
        <v>2130</v>
      </c>
      <c r="H67" s="118" t="s">
        <v>25</v>
      </c>
      <c r="I67" s="217">
        <v>1747000</v>
      </c>
      <c r="J67" s="225">
        <v>826271</v>
      </c>
      <c r="K67" s="225">
        <v>0</v>
      </c>
      <c r="L67" s="333">
        <f t="shared" si="5"/>
        <v>47.296565540927304</v>
      </c>
    </row>
    <row r="68" spans="7:12" ht="33.75" hidden="1">
      <c r="G68" s="149">
        <v>2310</v>
      </c>
      <c r="H68" s="118" t="s">
        <v>314</v>
      </c>
      <c r="I68" s="217">
        <v>22968.32</v>
      </c>
      <c r="J68" s="225">
        <v>0</v>
      </c>
      <c r="K68" s="328">
        <v>0</v>
      </c>
      <c r="L68" s="333">
        <f t="shared" si="5"/>
        <v>0</v>
      </c>
    </row>
    <row r="69" spans="7:12" ht="33.75" hidden="1">
      <c r="G69" s="323">
        <v>2310</v>
      </c>
      <c r="H69" s="182" t="s">
        <v>133</v>
      </c>
      <c r="I69" s="217">
        <v>6395.7</v>
      </c>
      <c r="J69" s="225">
        <v>6395.7</v>
      </c>
      <c r="K69" s="225">
        <v>0</v>
      </c>
      <c r="L69" s="333">
        <f t="shared" si="5"/>
        <v>100</v>
      </c>
    </row>
    <row r="70" spans="7:12" ht="33.75" hidden="1">
      <c r="G70" s="323">
        <v>2320</v>
      </c>
      <c r="H70" s="118" t="s">
        <v>135</v>
      </c>
      <c r="I70" s="217">
        <v>2218481.4</v>
      </c>
      <c r="J70" s="225">
        <v>1121601.27</v>
      </c>
      <c r="K70" s="225">
        <v>0</v>
      </c>
      <c r="L70" s="333">
        <f t="shared" si="5"/>
        <v>50.557163562426091</v>
      </c>
    </row>
    <row r="71" spans="7:12" ht="33.75" hidden="1">
      <c r="G71" s="149">
        <v>2320</v>
      </c>
      <c r="H71" s="118" t="s">
        <v>135</v>
      </c>
      <c r="I71" s="217">
        <v>70595.88</v>
      </c>
      <c r="J71" s="225">
        <v>68391.22</v>
      </c>
      <c r="K71" s="225">
        <v>0</v>
      </c>
      <c r="L71" s="333">
        <f t="shared" si="5"/>
        <v>96.877069879998658</v>
      </c>
    </row>
    <row r="72" spans="7:12" ht="33.75" hidden="1">
      <c r="G72" s="149">
        <v>2320</v>
      </c>
      <c r="H72" s="118" t="s">
        <v>135</v>
      </c>
      <c r="I72" s="217">
        <v>0</v>
      </c>
      <c r="J72" s="225">
        <v>3788.87</v>
      </c>
      <c r="K72" s="225">
        <v>0</v>
      </c>
      <c r="L72" s="333"/>
    </row>
    <row r="73" spans="7:12" ht="33.75" hidden="1">
      <c r="G73" s="323">
        <v>2360</v>
      </c>
      <c r="H73" s="118" t="s">
        <v>131</v>
      </c>
      <c r="I73" s="217">
        <v>80000</v>
      </c>
      <c r="J73" s="225">
        <v>72844.52</v>
      </c>
      <c r="K73" s="225">
        <v>0</v>
      </c>
      <c r="L73" s="333">
        <f>(J73+K73)/I73*100</f>
        <v>91.055650000000014</v>
      </c>
    </row>
    <row r="74" spans="7:12" ht="33.75" hidden="1">
      <c r="G74" s="149">
        <v>2360</v>
      </c>
      <c r="H74" s="118" t="s">
        <v>131</v>
      </c>
      <c r="I74" s="217">
        <v>0</v>
      </c>
      <c r="J74" s="225">
        <v>5</v>
      </c>
      <c r="K74" s="225">
        <v>0</v>
      </c>
      <c r="L74" s="333"/>
    </row>
    <row r="75" spans="7:12" ht="33.75" hidden="1">
      <c r="G75" s="323">
        <v>2360</v>
      </c>
      <c r="H75" s="118" t="s">
        <v>131</v>
      </c>
      <c r="I75" s="217">
        <v>0</v>
      </c>
      <c r="J75" s="225">
        <v>119.12</v>
      </c>
      <c r="K75" s="225">
        <v>0</v>
      </c>
      <c r="L75" s="333"/>
    </row>
    <row r="76" spans="7:12" ht="33.75" hidden="1">
      <c r="G76" s="236">
        <v>2360</v>
      </c>
      <c r="H76" s="120" t="s">
        <v>131</v>
      </c>
      <c r="I76" s="221">
        <v>0</v>
      </c>
      <c r="J76" s="229">
        <v>108.5</v>
      </c>
      <c r="K76" s="229">
        <v>0</v>
      </c>
      <c r="L76" s="335"/>
    </row>
    <row r="77" spans="7:12" ht="33.75" hidden="1">
      <c r="G77" s="323">
        <v>2460</v>
      </c>
      <c r="H77" s="118" t="s">
        <v>68</v>
      </c>
      <c r="I77" s="217">
        <v>270000</v>
      </c>
      <c r="J77" s="225">
        <v>126874.15</v>
      </c>
      <c r="K77" s="328">
        <v>0</v>
      </c>
      <c r="L77" s="333">
        <f>(J77+K77)/I77*100</f>
        <v>46.990425925925919</v>
      </c>
    </row>
    <row r="78" spans="7:12" ht="45" hidden="1">
      <c r="G78" s="323">
        <v>2690</v>
      </c>
      <c r="H78" s="154" t="s">
        <v>308</v>
      </c>
      <c r="I78" s="217">
        <v>1172800</v>
      </c>
      <c r="J78" s="225">
        <v>587000</v>
      </c>
      <c r="K78" s="225">
        <v>0</v>
      </c>
      <c r="L78" s="333">
        <f>(J78+K78)/I78*100</f>
        <v>50.051159618008192</v>
      </c>
    </row>
    <row r="79" spans="7:12" ht="33.75" hidden="1">
      <c r="G79" s="190">
        <v>2710</v>
      </c>
      <c r="H79" s="118" t="s">
        <v>309</v>
      </c>
      <c r="I79" s="221">
        <v>500</v>
      </c>
      <c r="J79" s="229">
        <v>500</v>
      </c>
      <c r="K79" s="229"/>
      <c r="L79" s="333"/>
    </row>
    <row r="80" spans="7:12" ht="56.25" hidden="1">
      <c r="G80" s="149">
        <v>2910</v>
      </c>
      <c r="H80" s="118" t="s">
        <v>214</v>
      </c>
      <c r="I80" s="217">
        <v>0</v>
      </c>
      <c r="J80" s="225">
        <v>104758.94</v>
      </c>
      <c r="K80" s="225">
        <v>0</v>
      </c>
      <c r="L80" s="333"/>
    </row>
    <row r="81" spans="7:12" ht="56.25" hidden="1">
      <c r="G81" s="149">
        <v>2910</v>
      </c>
      <c r="H81" s="118" t="s">
        <v>214</v>
      </c>
      <c r="I81" s="217">
        <v>0</v>
      </c>
      <c r="J81" s="225">
        <v>276.27</v>
      </c>
      <c r="K81" s="225">
        <v>0</v>
      </c>
      <c r="L81" s="333"/>
    </row>
    <row r="82" spans="7:12" ht="56.25" hidden="1">
      <c r="G82" s="149">
        <v>2910</v>
      </c>
      <c r="H82" s="118" t="s">
        <v>214</v>
      </c>
      <c r="I82" s="217">
        <v>0</v>
      </c>
      <c r="J82" s="225">
        <v>4820</v>
      </c>
      <c r="K82" s="225">
        <v>0</v>
      </c>
      <c r="L82" s="333"/>
    </row>
    <row r="83" spans="7:12" hidden="1">
      <c r="G83" s="323">
        <v>2920</v>
      </c>
      <c r="H83" s="121" t="s">
        <v>17</v>
      </c>
      <c r="I83" s="217">
        <v>18292142</v>
      </c>
      <c r="J83" s="225">
        <v>11256704</v>
      </c>
      <c r="K83" s="225">
        <v>0</v>
      </c>
      <c r="L83" s="333">
        <f t="shared" ref="L83:L92" si="6">(J83+K83)/I83*100</f>
        <v>61.538468266865628</v>
      </c>
    </row>
    <row r="84" spans="7:12" hidden="1">
      <c r="G84" s="323">
        <v>2920</v>
      </c>
      <c r="H84" s="121" t="s">
        <v>17</v>
      </c>
      <c r="I84" s="217">
        <v>6370975</v>
      </c>
      <c r="J84" s="225">
        <v>3185490</v>
      </c>
      <c r="K84" s="225">
        <v>0</v>
      </c>
      <c r="L84" s="333">
        <f t="shared" si="6"/>
        <v>50.000039240461625</v>
      </c>
    </row>
    <row r="85" spans="7:12" hidden="1">
      <c r="G85" s="323">
        <v>2920</v>
      </c>
      <c r="H85" s="121" t="s">
        <v>17</v>
      </c>
      <c r="I85" s="217">
        <v>2944204</v>
      </c>
      <c r="J85" s="225">
        <v>1472100</v>
      </c>
      <c r="K85" s="225">
        <v>0</v>
      </c>
      <c r="L85" s="333">
        <f t="shared" si="6"/>
        <v>49.999932069924505</v>
      </c>
    </row>
    <row r="86" spans="7:12" ht="45" hidden="1">
      <c r="G86" s="149">
        <v>6207</v>
      </c>
      <c r="H86" s="118" t="s">
        <v>213</v>
      </c>
      <c r="I86" s="217">
        <v>1331719.5</v>
      </c>
      <c r="J86" s="225">
        <v>0</v>
      </c>
      <c r="K86" s="328">
        <v>926468.82</v>
      </c>
      <c r="L86" s="333">
        <f t="shared" si="6"/>
        <v>69.56936652200406</v>
      </c>
    </row>
    <row r="87" spans="7:12" ht="45" hidden="1">
      <c r="G87" s="149">
        <v>6207</v>
      </c>
      <c r="H87" s="118" t="s">
        <v>213</v>
      </c>
      <c r="I87" s="217">
        <v>179258.65</v>
      </c>
      <c r="J87" s="225">
        <v>0</v>
      </c>
      <c r="K87" s="328">
        <v>37328.92</v>
      </c>
      <c r="L87" s="333">
        <f t="shared" si="6"/>
        <v>20.824055073492968</v>
      </c>
    </row>
    <row r="88" spans="7:12" ht="45" hidden="1">
      <c r="G88" s="149">
        <v>6207</v>
      </c>
      <c r="H88" s="118" t="s">
        <v>312</v>
      </c>
      <c r="I88" s="217">
        <v>446889.27</v>
      </c>
      <c r="J88" s="225">
        <v>0</v>
      </c>
      <c r="K88" s="225">
        <v>0</v>
      </c>
      <c r="L88" s="333">
        <f t="shared" si="6"/>
        <v>0</v>
      </c>
    </row>
    <row r="89" spans="7:12" ht="45" hidden="1">
      <c r="G89" s="190">
        <v>6260</v>
      </c>
      <c r="H89" s="118" t="s">
        <v>216</v>
      </c>
      <c r="I89" s="221">
        <v>610820</v>
      </c>
      <c r="J89" s="229">
        <v>0</v>
      </c>
      <c r="K89" s="229">
        <v>0</v>
      </c>
      <c r="L89" s="333">
        <f t="shared" si="6"/>
        <v>0</v>
      </c>
    </row>
    <row r="90" spans="7:12" ht="45" hidden="1">
      <c r="G90" s="149">
        <v>6260</v>
      </c>
      <c r="H90" s="118" t="s">
        <v>216</v>
      </c>
      <c r="I90" s="217">
        <v>532240</v>
      </c>
      <c r="J90" s="225">
        <v>0</v>
      </c>
      <c r="K90" s="225">
        <v>0</v>
      </c>
      <c r="L90" s="333">
        <f t="shared" si="6"/>
        <v>0</v>
      </c>
    </row>
    <row r="91" spans="7:12" ht="22.5" hidden="1">
      <c r="G91" s="149">
        <v>6290</v>
      </c>
      <c r="H91" s="118" t="s">
        <v>313</v>
      </c>
      <c r="I91" s="217">
        <v>23000</v>
      </c>
      <c r="J91" s="225">
        <v>0</v>
      </c>
      <c r="K91" s="328">
        <v>12000</v>
      </c>
      <c r="L91" s="333">
        <f t="shared" si="6"/>
        <v>52.173913043478258</v>
      </c>
    </row>
    <row r="92" spans="7:12" ht="45" hidden="1">
      <c r="G92" s="109">
        <v>6300</v>
      </c>
      <c r="H92" s="118" t="s">
        <v>310</v>
      </c>
      <c r="I92" s="329">
        <v>100000</v>
      </c>
      <c r="J92" s="329">
        <v>0</v>
      </c>
      <c r="K92" s="329">
        <v>0</v>
      </c>
      <c r="L92" s="333">
        <f t="shared" si="6"/>
        <v>0</v>
      </c>
    </row>
    <row r="93" spans="7:12" ht="45" hidden="1">
      <c r="G93" s="342">
        <v>6300</v>
      </c>
      <c r="H93" s="322" t="s">
        <v>310</v>
      </c>
      <c r="I93" s="218">
        <v>20000</v>
      </c>
      <c r="J93" s="226"/>
      <c r="K93" s="229">
        <v>20000</v>
      </c>
      <c r="L93" s="333"/>
    </row>
    <row r="94" spans="7:12" ht="22.5" hidden="1">
      <c r="G94" s="341">
        <v>6430</v>
      </c>
      <c r="H94" s="322" t="s">
        <v>217</v>
      </c>
      <c r="I94" s="343">
        <v>1226005</v>
      </c>
      <c r="J94" s="343">
        <v>0</v>
      </c>
      <c r="K94" s="329">
        <v>0</v>
      </c>
      <c r="L94" s="333">
        <f t="shared" ref="L94:L103" si="7">(J94+K94)/I94*100</f>
        <v>0</v>
      </c>
    </row>
    <row r="95" spans="7:12" ht="22.5" hidden="1">
      <c r="G95" s="159">
        <v>6430</v>
      </c>
      <c r="H95" s="118" t="s">
        <v>217</v>
      </c>
      <c r="I95" s="219">
        <v>63850</v>
      </c>
      <c r="J95" s="227">
        <v>0</v>
      </c>
      <c r="K95" s="225">
        <v>0</v>
      </c>
      <c r="L95" s="333">
        <f t="shared" si="7"/>
        <v>0</v>
      </c>
    </row>
    <row r="96" spans="7:12" ht="33.75" hidden="1">
      <c r="G96" s="325">
        <v>6627</v>
      </c>
      <c r="H96" s="154" t="s">
        <v>215</v>
      </c>
      <c r="I96" s="217">
        <v>254000</v>
      </c>
      <c r="J96" s="225">
        <v>0</v>
      </c>
      <c r="K96" s="225">
        <v>0</v>
      </c>
      <c r="L96" s="333">
        <f t="shared" si="7"/>
        <v>0</v>
      </c>
    </row>
    <row r="97" spans="7:12" hidden="1">
      <c r="G97" s="159" t="s">
        <v>16</v>
      </c>
      <c r="H97" s="121" t="s">
        <v>15</v>
      </c>
      <c r="I97" s="219">
        <v>4813489</v>
      </c>
      <c r="J97" s="227">
        <v>2062135</v>
      </c>
      <c r="K97" s="225">
        <v>0</v>
      </c>
      <c r="L97" s="333">
        <f t="shared" si="7"/>
        <v>42.840754388344919</v>
      </c>
    </row>
    <row r="98" spans="7:12" hidden="1">
      <c r="G98" s="149" t="s">
        <v>52</v>
      </c>
      <c r="H98" s="121" t="s">
        <v>53</v>
      </c>
      <c r="I98" s="217">
        <v>100000</v>
      </c>
      <c r="J98" s="225">
        <v>76263.48</v>
      </c>
      <c r="K98" s="225">
        <v>0</v>
      </c>
      <c r="L98" s="333">
        <f t="shared" si="7"/>
        <v>76.263480000000001</v>
      </c>
    </row>
    <row r="99" spans="7:12" hidden="1">
      <c r="G99" s="166" t="s">
        <v>18</v>
      </c>
      <c r="H99" s="167" t="s">
        <v>19</v>
      </c>
      <c r="I99" s="221">
        <v>795820</v>
      </c>
      <c r="J99" s="229">
        <v>373795</v>
      </c>
      <c r="K99" s="225">
        <v>0</v>
      </c>
      <c r="L99" s="333">
        <f t="shared" si="7"/>
        <v>46.969792164057203</v>
      </c>
    </row>
    <row r="100" spans="7:12" ht="22.5" hidden="1">
      <c r="G100" s="149" t="s">
        <v>20</v>
      </c>
      <c r="H100" s="118" t="s">
        <v>23</v>
      </c>
      <c r="I100" s="217">
        <v>7000</v>
      </c>
      <c r="J100" s="225">
        <v>5922.97</v>
      </c>
      <c r="K100" s="225">
        <v>0</v>
      </c>
      <c r="L100" s="333">
        <f t="shared" si="7"/>
        <v>84.613857142857157</v>
      </c>
    </row>
    <row r="101" spans="7:12" ht="22.5" hidden="1">
      <c r="G101" s="166" t="s">
        <v>169</v>
      </c>
      <c r="H101" s="167" t="s">
        <v>212</v>
      </c>
      <c r="I101" s="221">
        <v>630000</v>
      </c>
      <c r="J101" s="229">
        <v>608680.62</v>
      </c>
      <c r="K101" s="225">
        <v>0</v>
      </c>
      <c r="L101" s="333">
        <f t="shared" si="7"/>
        <v>96.615971428571427</v>
      </c>
    </row>
    <row r="102" spans="7:12" hidden="1">
      <c r="G102" s="149" t="s">
        <v>129</v>
      </c>
      <c r="H102" s="122" t="s">
        <v>159</v>
      </c>
      <c r="I102" s="217">
        <v>1000</v>
      </c>
      <c r="J102" s="225">
        <v>1000</v>
      </c>
      <c r="K102" s="225">
        <v>0</v>
      </c>
      <c r="L102" s="333">
        <f t="shared" si="7"/>
        <v>100</v>
      </c>
    </row>
    <row r="103" spans="7:12" ht="22.5" hidden="1">
      <c r="G103" s="149" t="s">
        <v>147</v>
      </c>
      <c r="H103" s="118" t="s">
        <v>156</v>
      </c>
      <c r="I103" s="217">
        <v>3000</v>
      </c>
      <c r="J103" s="225">
        <v>5126.3</v>
      </c>
      <c r="K103" s="225">
        <v>0</v>
      </c>
      <c r="L103" s="333">
        <f t="shared" si="7"/>
        <v>170.87666666666667</v>
      </c>
    </row>
    <row r="104" spans="7:12" hidden="1">
      <c r="G104" s="149" t="s">
        <v>37</v>
      </c>
      <c r="H104" s="121" t="s">
        <v>38</v>
      </c>
      <c r="I104" s="217">
        <v>0</v>
      </c>
      <c r="J104" s="225">
        <v>0</v>
      </c>
      <c r="K104" s="225">
        <v>0</v>
      </c>
      <c r="L104" s="333"/>
    </row>
    <row r="105" spans="7:12" hidden="1">
      <c r="G105" s="149" t="s">
        <v>37</v>
      </c>
      <c r="H105" s="121" t="s">
        <v>38</v>
      </c>
      <c r="I105" s="217">
        <v>0</v>
      </c>
      <c r="J105" s="225">
        <v>26.4</v>
      </c>
      <c r="K105" s="225">
        <v>0</v>
      </c>
      <c r="L105" s="333"/>
    </row>
    <row r="106" spans="7:12" hidden="1">
      <c r="G106" s="149" t="s">
        <v>37</v>
      </c>
      <c r="H106" s="121" t="s">
        <v>38</v>
      </c>
      <c r="I106" s="217">
        <v>0</v>
      </c>
      <c r="J106" s="225">
        <v>832.97</v>
      </c>
      <c r="K106" s="225">
        <v>0</v>
      </c>
      <c r="L106" s="333"/>
    </row>
    <row r="107" spans="7:12" hidden="1">
      <c r="G107" s="166" t="s">
        <v>37</v>
      </c>
      <c r="H107" s="121" t="s">
        <v>38</v>
      </c>
      <c r="I107" s="221">
        <v>20000</v>
      </c>
      <c r="J107" s="229">
        <v>5322.85</v>
      </c>
      <c r="K107" s="225">
        <v>0</v>
      </c>
      <c r="L107" s="333">
        <f t="shared" ref="L107:L117" si="8">(J107+K107)/I107*100</f>
        <v>26.614250000000002</v>
      </c>
    </row>
    <row r="108" spans="7:12" hidden="1">
      <c r="G108" s="149" t="s">
        <v>37</v>
      </c>
      <c r="H108" s="121" t="s">
        <v>38</v>
      </c>
      <c r="I108" s="217">
        <v>572</v>
      </c>
      <c r="J108" s="225">
        <v>212.83</v>
      </c>
      <c r="K108" s="225">
        <v>0</v>
      </c>
      <c r="L108" s="333">
        <f t="shared" si="8"/>
        <v>37.20804195804196</v>
      </c>
    </row>
    <row r="109" spans="7:12" hidden="1">
      <c r="G109" s="149" t="s">
        <v>37</v>
      </c>
      <c r="H109" s="121" t="s">
        <v>38</v>
      </c>
      <c r="I109" s="217">
        <v>1511</v>
      </c>
      <c r="J109" s="225">
        <v>1046.17</v>
      </c>
      <c r="K109" s="225">
        <v>0</v>
      </c>
      <c r="L109" s="333">
        <f t="shared" si="8"/>
        <v>69.236929185969558</v>
      </c>
    </row>
    <row r="110" spans="7:12" hidden="1">
      <c r="G110" s="149" t="s">
        <v>37</v>
      </c>
      <c r="H110" s="121" t="s">
        <v>38</v>
      </c>
      <c r="I110" s="217">
        <v>140000</v>
      </c>
      <c r="J110" s="225">
        <v>35913.39</v>
      </c>
      <c r="K110" s="225">
        <v>0</v>
      </c>
      <c r="L110" s="333">
        <f t="shared" si="8"/>
        <v>25.652421428571426</v>
      </c>
    </row>
    <row r="111" spans="7:12" ht="45" hidden="1">
      <c r="G111" s="149" t="s">
        <v>21</v>
      </c>
      <c r="H111" s="118" t="s">
        <v>166</v>
      </c>
      <c r="I111" s="217">
        <v>30000</v>
      </c>
      <c r="J111" s="225">
        <v>20089.64</v>
      </c>
      <c r="K111" s="225">
        <v>0</v>
      </c>
      <c r="L111" s="333">
        <f t="shared" si="8"/>
        <v>66.965466666666657</v>
      </c>
    </row>
    <row r="112" spans="7:12" ht="45" hidden="1">
      <c r="G112" s="149" t="s">
        <v>21</v>
      </c>
      <c r="H112" s="118" t="s">
        <v>166</v>
      </c>
      <c r="I112" s="217">
        <v>27894.76</v>
      </c>
      <c r="J112" s="225">
        <v>9337.08</v>
      </c>
      <c r="K112" s="225">
        <v>0</v>
      </c>
      <c r="L112" s="333">
        <f t="shared" si="8"/>
        <v>33.472523154886439</v>
      </c>
    </row>
    <row r="113" spans="7:12" ht="45" hidden="1">
      <c r="G113" s="149" t="s">
        <v>21</v>
      </c>
      <c r="H113" s="118" t="s">
        <v>166</v>
      </c>
      <c r="I113" s="221">
        <v>3000</v>
      </c>
      <c r="J113" s="229">
        <v>1950</v>
      </c>
      <c r="K113" s="225">
        <v>0</v>
      </c>
      <c r="L113" s="333">
        <f t="shared" si="8"/>
        <v>65</v>
      </c>
    </row>
    <row r="114" spans="7:12" ht="45" hidden="1">
      <c r="G114" s="149" t="s">
        <v>21</v>
      </c>
      <c r="H114" s="118" t="s">
        <v>166</v>
      </c>
      <c r="I114" s="217">
        <v>5800</v>
      </c>
      <c r="J114" s="225">
        <v>1980</v>
      </c>
      <c r="K114" s="225">
        <v>0</v>
      </c>
      <c r="L114" s="333">
        <f t="shared" si="8"/>
        <v>34.137931034482762</v>
      </c>
    </row>
    <row r="115" spans="7:12" ht="45" hidden="1">
      <c r="G115" s="149" t="s">
        <v>21</v>
      </c>
      <c r="H115" s="118" t="s">
        <v>166</v>
      </c>
      <c r="I115" s="217">
        <v>54124</v>
      </c>
      <c r="J115" s="225">
        <v>32585.65</v>
      </c>
      <c r="K115" s="225">
        <v>0</v>
      </c>
      <c r="L115" s="333">
        <f t="shared" si="8"/>
        <v>60.205546522799501</v>
      </c>
    </row>
    <row r="116" spans="7:12" ht="45" hidden="1">
      <c r="G116" s="149" t="s">
        <v>21</v>
      </c>
      <c r="H116" s="118" t="s">
        <v>166</v>
      </c>
      <c r="I116" s="217">
        <v>40843</v>
      </c>
      <c r="J116" s="225">
        <v>39371.14</v>
      </c>
      <c r="K116" s="225">
        <v>0</v>
      </c>
      <c r="L116" s="333">
        <f t="shared" si="8"/>
        <v>96.396298019244426</v>
      </c>
    </row>
    <row r="117" spans="7:12" ht="45" hidden="1">
      <c r="G117" s="158" t="s">
        <v>21</v>
      </c>
      <c r="H117" s="118" t="s">
        <v>166</v>
      </c>
      <c r="I117" s="217">
        <v>50000</v>
      </c>
      <c r="J117" s="225">
        <v>20315.560000000001</v>
      </c>
      <c r="K117" s="225">
        <v>0</v>
      </c>
      <c r="L117" s="333">
        <f t="shared" si="8"/>
        <v>40.631120000000003</v>
      </c>
    </row>
    <row r="118" spans="7:12" ht="45" hidden="1">
      <c r="G118" s="158" t="s">
        <v>21</v>
      </c>
      <c r="H118" s="118" t="s">
        <v>166</v>
      </c>
      <c r="I118" s="217">
        <v>0</v>
      </c>
      <c r="J118" s="225">
        <v>5250</v>
      </c>
      <c r="K118" s="225">
        <v>0</v>
      </c>
      <c r="L118" s="333"/>
    </row>
    <row r="119" spans="7:12" ht="45" hidden="1">
      <c r="G119" s="158" t="s">
        <v>21</v>
      </c>
      <c r="H119" s="118" t="s">
        <v>132</v>
      </c>
      <c r="I119" s="217">
        <v>27690</v>
      </c>
      <c r="J119" s="225">
        <v>18819.96</v>
      </c>
      <c r="K119" s="225">
        <v>0</v>
      </c>
      <c r="L119" s="333">
        <f>(J119+K119)/I119*100</f>
        <v>67.966630552546036</v>
      </c>
    </row>
    <row r="120" spans="7:12" ht="45" hidden="1">
      <c r="G120" s="158" t="s">
        <v>21</v>
      </c>
      <c r="H120" s="118" t="s">
        <v>166</v>
      </c>
      <c r="I120" s="217">
        <v>5000</v>
      </c>
      <c r="J120" s="225">
        <v>800</v>
      </c>
      <c r="K120" s="225">
        <v>0</v>
      </c>
      <c r="L120" s="333"/>
    </row>
    <row r="121" spans="7:12" ht="45" hidden="1">
      <c r="G121" s="158" t="s">
        <v>21</v>
      </c>
      <c r="H121" s="118" t="s">
        <v>166</v>
      </c>
      <c r="I121" s="217">
        <v>19600</v>
      </c>
      <c r="J121" s="225">
        <v>10182.379999999999</v>
      </c>
      <c r="K121" s="225">
        <v>0</v>
      </c>
      <c r="L121" s="333">
        <f>(J121+K121)/I121*100</f>
        <v>51.950918367346929</v>
      </c>
    </row>
    <row r="122" spans="7:12" ht="45" hidden="1">
      <c r="G122" s="158" t="s">
        <v>21</v>
      </c>
      <c r="H122" s="118" t="s">
        <v>166</v>
      </c>
      <c r="I122" s="217">
        <v>10690</v>
      </c>
      <c r="J122" s="225">
        <v>7150</v>
      </c>
      <c r="K122" s="225">
        <v>0</v>
      </c>
      <c r="L122" s="333">
        <f>(J122+K122)/I122*100</f>
        <v>66.884939195509816</v>
      </c>
    </row>
    <row r="123" spans="7:12" ht="45" hidden="1">
      <c r="G123" s="158" t="s">
        <v>21</v>
      </c>
      <c r="H123" s="118" t="s">
        <v>166</v>
      </c>
      <c r="I123" s="217">
        <v>20000</v>
      </c>
      <c r="J123" s="225">
        <v>24106.41</v>
      </c>
      <c r="K123" s="225">
        <v>0</v>
      </c>
      <c r="L123" s="333">
        <f>(J123+K123)/I123*100</f>
        <v>120.53205</v>
      </c>
    </row>
    <row r="124" spans="7:12" ht="22.5" hidden="1">
      <c r="G124" s="158" t="s">
        <v>22</v>
      </c>
      <c r="H124" s="118" t="s">
        <v>60</v>
      </c>
      <c r="I124" s="217">
        <v>880000</v>
      </c>
      <c r="J124" s="225">
        <v>0</v>
      </c>
      <c r="K124" s="225">
        <v>0</v>
      </c>
      <c r="L124" s="333">
        <f>(J124+K124)/I124*100</f>
        <v>0</v>
      </c>
    </row>
    <row r="125" spans="7:12" hidden="1">
      <c r="G125" s="158" t="s">
        <v>55</v>
      </c>
      <c r="H125" s="118" t="s">
        <v>57</v>
      </c>
      <c r="I125" s="217">
        <v>0</v>
      </c>
      <c r="J125" s="225">
        <v>640.4</v>
      </c>
      <c r="K125" s="328">
        <v>0</v>
      </c>
      <c r="L125" s="333"/>
    </row>
    <row r="126" spans="7:12" hidden="1">
      <c r="G126" s="149" t="s">
        <v>55</v>
      </c>
      <c r="H126" s="118" t="s">
        <v>57</v>
      </c>
      <c r="I126" s="217">
        <v>430000</v>
      </c>
      <c r="J126" s="225">
        <v>184756.19</v>
      </c>
      <c r="K126" s="225">
        <v>0</v>
      </c>
      <c r="L126" s="333">
        <f>(J126+K126)/I126*100</f>
        <v>42.966555813953491</v>
      </c>
    </row>
    <row r="127" spans="7:12" hidden="1">
      <c r="G127" s="149" t="s">
        <v>55</v>
      </c>
      <c r="H127" s="118" t="s">
        <v>57</v>
      </c>
      <c r="I127" s="217">
        <v>600</v>
      </c>
      <c r="J127" s="225">
        <v>882</v>
      </c>
      <c r="K127" s="225">
        <v>0</v>
      </c>
      <c r="L127" s="333">
        <f>(J127+K127)/I127*100</f>
        <v>147</v>
      </c>
    </row>
    <row r="128" spans="7:12" hidden="1">
      <c r="G128" s="149" t="s">
        <v>55</v>
      </c>
      <c r="H128" s="118" t="s">
        <v>57</v>
      </c>
      <c r="I128" s="217">
        <v>5000</v>
      </c>
      <c r="J128" s="225">
        <v>8345.56</v>
      </c>
      <c r="K128" s="225">
        <v>0</v>
      </c>
      <c r="L128" s="333">
        <f>(J128+K128)/I128*100</f>
        <v>166.91119999999998</v>
      </c>
    </row>
    <row r="129" spans="7:12" hidden="1">
      <c r="G129" s="149" t="s">
        <v>55</v>
      </c>
      <c r="H129" s="118" t="s">
        <v>57</v>
      </c>
      <c r="I129" s="217">
        <v>0</v>
      </c>
      <c r="J129" s="225">
        <v>18440.5</v>
      </c>
      <c r="K129" s="225">
        <v>0</v>
      </c>
      <c r="L129" s="333"/>
    </row>
    <row r="130" spans="7:12" hidden="1">
      <c r="G130" s="149" t="s">
        <v>55</v>
      </c>
      <c r="H130" s="118" t="s">
        <v>57</v>
      </c>
      <c r="I130" s="217">
        <v>120000</v>
      </c>
      <c r="J130" s="225">
        <v>109731.2</v>
      </c>
      <c r="K130" s="225">
        <v>0</v>
      </c>
      <c r="L130" s="333">
        <f>(J130+K130)/I130*100</f>
        <v>91.442666666666668</v>
      </c>
    </row>
    <row r="131" spans="7:12" hidden="1">
      <c r="G131" s="149" t="s">
        <v>55</v>
      </c>
      <c r="H131" s="118" t="s">
        <v>57</v>
      </c>
      <c r="I131" s="217">
        <v>0</v>
      </c>
      <c r="J131" s="225">
        <v>7036.3</v>
      </c>
      <c r="K131" s="225">
        <v>0</v>
      </c>
      <c r="L131" s="333"/>
    </row>
    <row r="132" spans="7:12" hidden="1">
      <c r="G132" s="149" t="s">
        <v>55</v>
      </c>
      <c r="H132" s="118" t="s">
        <v>57</v>
      </c>
      <c r="I132" s="217">
        <v>0</v>
      </c>
      <c r="J132" s="225">
        <v>203.39</v>
      </c>
      <c r="K132" s="217">
        <v>0</v>
      </c>
      <c r="L132" s="333"/>
    </row>
    <row r="133" spans="7:12" hidden="1">
      <c r="G133" s="149" t="s">
        <v>55</v>
      </c>
      <c r="H133" s="118" t="s">
        <v>57</v>
      </c>
      <c r="I133" s="217">
        <v>8000</v>
      </c>
      <c r="J133" s="225">
        <v>5136.51</v>
      </c>
      <c r="K133" s="225">
        <v>0</v>
      </c>
      <c r="L133" s="333">
        <f>(J133+K133)/I133*100</f>
        <v>64.206375000000008</v>
      </c>
    </row>
    <row r="134" spans="7:12" hidden="1">
      <c r="G134" s="149" t="s">
        <v>55</v>
      </c>
      <c r="H134" s="118" t="s">
        <v>57</v>
      </c>
      <c r="I134" s="217">
        <v>2800</v>
      </c>
      <c r="J134" s="225">
        <v>3772</v>
      </c>
      <c r="K134" s="225">
        <v>0</v>
      </c>
      <c r="L134" s="333">
        <f>(J134+K134)/I134*100</f>
        <v>134.71428571428572</v>
      </c>
    </row>
    <row r="135" spans="7:12" hidden="1">
      <c r="G135" s="149" t="s">
        <v>55</v>
      </c>
      <c r="H135" s="118" t="s">
        <v>57</v>
      </c>
      <c r="I135" s="217">
        <v>15500</v>
      </c>
      <c r="J135" s="225">
        <v>15236.5</v>
      </c>
      <c r="K135" s="225">
        <v>0</v>
      </c>
      <c r="L135" s="333">
        <f>(J135+K135)/I135*100</f>
        <v>98.3</v>
      </c>
    </row>
    <row r="136" spans="7:12" hidden="1">
      <c r="G136" s="149" t="s">
        <v>55</v>
      </c>
      <c r="H136" s="118" t="s">
        <v>57</v>
      </c>
      <c r="I136" s="217">
        <v>24000</v>
      </c>
      <c r="J136" s="225">
        <v>7615.68</v>
      </c>
      <c r="K136" s="225">
        <v>0</v>
      </c>
      <c r="L136" s="333">
        <f>(J136+K136)/I136*100</f>
        <v>31.731999999999999</v>
      </c>
    </row>
    <row r="137" spans="7:12" hidden="1">
      <c r="G137" s="149" t="s">
        <v>191</v>
      </c>
      <c r="H137" s="118" t="s">
        <v>194</v>
      </c>
      <c r="I137" s="217">
        <v>0</v>
      </c>
      <c r="J137" s="225">
        <v>8</v>
      </c>
      <c r="K137" s="225">
        <v>0</v>
      </c>
      <c r="L137" s="333"/>
    </row>
    <row r="138" spans="7:12" hidden="1">
      <c r="G138" s="149" t="s">
        <v>191</v>
      </c>
      <c r="H138" s="118" t="s">
        <v>194</v>
      </c>
      <c r="I138" s="217">
        <v>0</v>
      </c>
      <c r="J138" s="225">
        <v>175</v>
      </c>
      <c r="K138" s="225">
        <v>0</v>
      </c>
      <c r="L138" s="333"/>
    </row>
    <row r="139" spans="7:12" ht="45" hidden="1">
      <c r="G139" s="149" t="s">
        <v>192</v>
      </c>
      <c r="H139" s="118" t="s">
        <v>311</v>
      </c>
      <c r="I139" s="217">
        <v>0</v>
      </c>
      <c r="J139" s="225">
        <v>22235.599999999999</v>
      </c>
      <c r="K139" s="225">
        <v>0</v>
      </c>
      <c r="L139" s="333"/>
    </row>
    <row r="140" spans="7:12" hidden="1">
      <c r="G140" s="149" t="s">
        <v>190</v>
      </c>
      <c r="H140" s="118" t="s">
        <v>193</v>
      </c>
      <c r="I140" s="221">
        <v>0</v>
      </c>
      <c r="J140" s="229">
        <v>629.83000000000004</v>
      </c>
      <c r="K140" s="225">
        <v>0</v>
      </c>
      <c r="L140" s="333"/>
    </row>
    <row r="141" spans="7:12" hidden="1">
      <c r="G141" s="149" t="s">
        <v>49</v>
      </c>
      <c r="H141" s="118" t="s">
        <v>59</v>
      </c>
      <c r="I141" s="217">
        <v>1500</v>
      </c>
      <c r="J141" s="225">
        <v>1089.23</v>
      </c>
      <c r="K141" s="328">
        <v>0</v>
      </c>
      <c r="L141" s="333">
        <f>(J141+K141)/I141*100</f>
        <v>72.615333333333325</v>
      </c>
    </row>
    <row r="142" spans="7:12" hidden="1">
      <c r="G142" s="149" t="s">
        <v>49</v>
      </c>
      <c r="H142" s="118" t="s">
        <v>59</v>
      </c>
      <c r="I142" s="217">
        <v>27</v>
      </c>
      <c r="J142" s="225">
        <v>2236.19</v>
      </c>
      <c r="K142" s="225">
        <v>0</v>
      </c>
      <c r="L142" s="333"/>
    </row>
    <row r="143" spans="7:12" hidden="1">
      <c r="G143" s="149" t="s">
        <v>49</v>
      </c>
      <c r="H143" s="118" t="s">
        <v>59</v>
      </c>
      <c r="I143" s="217">
        <v>0</v>
      </c>
      <c r="J143" s="225">
        <v>602.9</v>
      </c>
      <c r="K143" s="225">
        <v>0</v>
      </c>
      <c r="L143" s="333"/>
    </row>
    <row r="144" spans="7:12" hidden="1">
      <c r="G144" s="149" t="s">
        <v>49</v>
      </c>
      <c r="H144" s="118" t="s">
        <v>59</v>
      </c>
      <c r="I144" s="217">
        <v>0</v>
      </c>
      <c r="J144" s="225">
        <v>182.11</v>
      </c>
      <c r="K144" s="225">
        <v>0</v>
      </c>
      <c r="L144" s="333"/>
    </row>
    <row r="145" spans="4:12" hidden="1">
      <c r="G145" s="149" t="s">
        <v>49</v>
      </c>
      <c r="H145" s="118" t="s">
        <v>59</v>
      </c>
      <c r="I145" s="217">
        <v>6000</v>
      </c>
      <c r="J145" s="225">
        <v>3110.72</v>
      </c>
      <c r="K145" s="225">
        <v>0</v>
      </c>
      <c r="L145" s="333">
        <f>(J145+K145)/I145*100</f>
        <v>51.845333333333329</v>
      </c>
    </row>
    <row r="146" spans="4:12" hidden="1">
      <c r="G146" s="149" t="s">
        <v>49</v>
      </c>
      <c r="H146" s="121" t="s">
        <v>59</v>
      </c>
      <c r="I146" s="217">
        <v>60000</v>
      </c>
      <c r="J146" s="225">
        <v>70566.78</v>
      </c>
      <c r="K146" s="225">
        <v>0</v>
      </c>
      <c r="L146" s="333">
        <f>(J146+K146)/I146*100</f>
        <v>117.6113</v>
      </c>
    </row>
    <row r="147" spans="4:12" hidden="1">
      <c r="G147" s="149" t="s">
        <v>49</v>
      </c>
      <c r="H147" s="118" t="s">
        <v>59</v>
      </c>
      <c r="I147" s="217">
        <v>450</v>
      </c>
      <c r="J147" s="225">
        <v>261.27999999999997</v>
      </c>
      <c r="K147" s="225">
        <v>0</v>
      </c>
      <c r="L147" s="333">
        <f>(J147+K147)/I147*100</f>
        <v>58.062222222222218</v>
      </c>
    </row>
    <row r="148" spans="4:12" hidden="1">
      <c r="G148" s="149" t="s">
        <v>49</v>
      </c>
      <c r="H148" s="118" t="s">
        <v>59</v>
      </c>
      <c r="I148" s="217">
        <v>920</v>
      </c>
      <c r="J148" s="225">
        <v>422.16</v>
      </c>
      <c r="K148" s="225">
        <v>0</v>
      </c>
      <c r="L148" s="333">
        <f>(J148+K148)/I148*100</f>
        <v>45.88695652173913</v>
      </c>
    </row>
    <row r="149" spans="4:12" hidden="1">
      <c r="G149" s="149" t="s">
        <v>49</v>
      </c>
      <c r="H149" s="118" t="s">
        <v>59</v>
      </c>
      <c r="I149" s="217">
        <v>2185</v>
      </c>
      <c r="J149" s="225">
        <v>1121.03</v>
      </c>
      <c r="K149" s="225">
        <v>0</v>
      </c>
      <c r="L149" s="333">
        <f>(J149+K149)/I149*100</f>
        <v>51.30572082379863</v>
      </c>
    </row>
    <row r="150" spans="4:12" hidden="1">
      <c r="G150" s="149" t="s">
        <v>49</v>
      </c>
      <c r="H150" s="118" t="s">
        <v>59</v>
      </c>
      <c r="I150" s="217">
        <v>0</v>
      </c>
      <c r="J150" s="225">
        <v>192.84</v>
      </c>
      <c r="K150" s="225">
        <v>0</v>
      </c>
      <c r="L150" s="333"/>
    </row>
    <row r="151" spans="4:12" hidden="1">
      <c r="G151" s="149" t="s">
        <v>49</v>
      </c>
      <c r="H151" s="118" t="s">
        <v>59</v>
      </c>
      <c r="I151" s="217">
        <v>1200</v>
      </c>
      <c r="J151" s="225">
        <v>1297.1199999999999</v>
      </c>
      <c r="K151" s="225">
        <v>0</v>
      </c>
      <c r="L151" s="333">
        <f>(J151+K151)/I151*100</f>
        <v>108.09333333333333</v>
      </c>
    </row>
    <row r="152" spans="4:12" hidden="1">
      <c r="G152" s="149" t="s">
        <v>49</v>
      </c>
      <c r="H152" s="118" t="s">
        <v>59</v>
      </c>
      <c r="I152" s="217">
        <v>0</v>
      </c>
      <c r="J152" s="225">
        <v>223.81</v>
      </c>
      <c r="K152" s="217">
        <v>0</v>
      </c>
      <c r="L152" s="333"/>
    </row>
    <row r="153" spans="4:12" hidden="1">
      <c r="G153" s="149" t="s">
        <v>49</v>
      </c>
      <c r="H153" s="118" t="s">
        <v>59</v>
      </c>
      <c r="I153" s="217">
        <v>1000</v>
      </c>
      <c r="J153" s="225">
        <v>1113.3699999999999</v>
      </c>
      <c r="K153" s="225">
        <v>0</v>
      </c>
      <c r="L153" s="333">
        <f>(J153+K153)/I153*100</f>
        <v>111.337</v>
      </c>
    </row>
    <row r="154" spans="4:12" hidden="1">
      <c r="G154" s="149" t="s">
        <v>49</v>
      </c>
      <c r="H154" s="118" t="s">
        <v>59</v>
      </c>
      <c r="I154" s="217">
        <v>1500</v>
      </c>
      <c r="J154" s="225">
        <v>717.32</v>
      </c>
      <c r="K154" s="225">
        <v>0</v>
      </c>
      <c r="L154" s="333">
        <f>(J154+K154)/I154*100</f>
        <v>47.821333333333335</v>
      </c>
    </row>
    <row r="155" spans="4:12" hidden="1">
      <c r="G155" s="149" t="s">
        <v>49</v>
      </c>
      <c r="H155" s="118" t="s">
        <v>59</v>
      </c>
      <c r="I155" s="217">
        <v>0</v>
      </c>
      <c r="J155" s="225">
        <v>1383.83</v>
      </c>
      <c r="K155" s="225">
        <v>0</v>
      </c>
      <c r="L155" s="333"/>
    </row>
    <row r="156" spans="4:12" hidden="1">
      <c r="G156" s="149" t="s">
        <v>49</v>
      </c>
      <c r="H156" s="118" t="s">
        <v>59</v>
      </c>
      <c r="I156" s="217">
        <v>280</v>
      </c>
      <c r="J156" s="225">
        <v>366.92</v>
      </c>
      <c r="K156" s="225">
        <v>0</v>
      </c>
      <c r="L156" s="333">
        <f>(J156+K156)/I156*100</f>
        <v>131.04285714285714</v>
      </c>
    </row>
    <row r="157" spans="4:12" hidden="1">
      <c r="G157" s="149" t="s">
        <v>49</v>
      </c>
      <c r="H157" s="118" t="s">
        <v>59</v>
      </c>
      <c r="I157" s="217">
        <v>200</v>
      </c>
      <c r="J157" s="225">
        <v>111.37</v>
      </c>
      <c r="K157" s="225">
        <v>0</v>
      </c>
      <c r="L157" s="333">
        <f>(J157+K157)/I157*100</f>
        <v>55.685000000000009</v>
      </c>
    </row>
    <row r="158" spans="4:12" hidden="1">
      <c r="G158" s="149" t="s">
        <v>49</v>
      </c>
      <c r="H158" s="118" t="s">
        <v>59</v>
      </c>
      <c r="I158" s="217">
        <v>500</v>
      </c>
      <c r="J158" s="225">
        <v>357</v>
      </c>
      <c r="K158" s="225">
        <v>0</v>
      </c>
      <c r="L158" s="333">
        <f>(J158+K158)/I158*100</f>
        <v>71.399999999999991</v>
      </c>
    </row>
    <row r="159" spans="4:12" hidden="1">
      <c r="G159" s="149" t="s">
        <v>100</v>
      </c>
      <c r="H159" s="321" t="s">
        <v>155</v>
      </c>
      <c r="I159" s="217">
        <v>0</v>
      </c>
      <c r="J159" s="225">
        <v>104</v>
      </c>
      <c r="K159" s="225">
        <v>0</v>
      </c>
      <c r="L159" s="333"/>
    </row>
    <row r="160" spans="4:12" hidden="1">
      <c r="D160">
        <v>28922658.32</v>
      </c>
      <c r="G160" s="149" t="s">
        <v>56</v>
      </c>
      <c r="H160" s="322" t="s">
        <v>58</v>
      </c>
      <c r="I160" s="217">
        <v>0</v>
      </c>
      <c r="J160" s="225">
        <v>676.41</v>
      </c>
      <c r="K160" s="328">
        <v>0</v>
      </c>
      <c r="L160" s="333"/>
    </row>
    <row r="161" spans="4:12" hidden="1">
      <c r="D161" s="39">
        <f>D51-D160</f>
        <v>-28922658.32</v>
      </c>
      <c r="G161" s="149" t="s">
        <v>56</v>
      </c>
      <c r="H161" s="118" t="s">
        <v>58</v>
      </c>
      <c r="I161" s="217">
        <v>15000</v>
      </c>
      <c r="J161" s="225">
        <v>18181.89</v>
      </c>
      <c r="K161" s="328">
        <v>0</v>
      </c>
      <c r="L161" s="333">
        <f>(J161+K161)/I161*100</f>
        <v>121.21260000000001</v>
      </c>
    </row>
    <row r="162" spans="4:12" hidden="1">
      <c r="G162" s="149" t="s">
        <v>56</v>
      </c>
      <c r="H162" s="118" t="s">
        <v>58</v>
      </c>
      <c r="I162" s="217">
        <v>15000</v>
      </c>
      <c r="J162" s="225">
        <v>3645.81</v>
      </c>
      <c r="K162" s="225">
        <v>0</v>
      </c>
      <c r="L162" s="333"/>
    </row>
    <row r="163" spans="4:12" hidden="1">
      <c r="G163" s="149" t="s">
        <v>56</v>
      </c>
      <c r="H163" s="118" t="s">
        <v>58</v>
      </c>
      <c r="I163" s="217">
        <v>239518.92</v>
      </c>
      <c r="J163" s="225">
        <v>239518.92</v>
      </c>
      <c r="K163" s="225">
        <v>0</v>
      </c>
      <c r="L163" s="333">
        <f>(J163+K163)/I163*100</f>
        <v>100</v>
      </c>
    </row>
    <row r="164" spans="4:12" hidden="1">
      <c r="G164" s="149" t="s">
        <v>56</v>
      </c>
      <c r="H164" s="118" t="s">
        <v>58</v>
      </c>
      <c r="I164" s="217">
        <v>10000</v>
      </c>
      <c r="J164" s="225">
        <v>24777.25</v>
      </c>
      <c r="K164" s="225">
        <v>0</v>
      </c>
      <c r="L164" s="333">
        <f>(J164+K164)/I164*100</f>
        <v>247.77250000000001</v>
      </c>
    </row>
    <row r="165" spans="4:12" hidden="1">
      <c r="G165" s="149" t="s">
        <v>56</v>
      </c>
      <c r="H165" s="118" t="s">
        <v>58</v>
      </c>
      <c r="I165" s="217">
        <v>0</v>
      </c>
      <c r="J165" s="225">
        <v>900</v>
      </c>
      <c r="K165" s="225">
        <v>0</v>
      </c>
      <c r="L165" s="333"/>
    </row>
    <row r="166" spans="4:12" hidden="1">
      <c r="G166" s="149" t="s">
        <v>56</v>
      </c>
      <c r="H166" s="118" t="s">
        <v>58</v>
      </c>
      <c r="I166" s="217">
        <v>800</v>
      </c>
      <c r="J166" s="225">
        <v>356</v>
      </c>
      <c r="K166" s="225">
        <v>0</v>
      </c>
      <c r="L166" s="333">
        <f>(J166+K166)/I166*100</f>
        <v>44.5</v>
      </c>
    </row>
    <row r="167" spans="4:12" hidden="1">
      <c r="G167" s="149" t="s">
        <v>56</v>
      </c>
      <c r="H167" s="118" t="s">
        <v>58</v>
      </c>
      <c r="I167" s="217">
        <v>6024.99</v>
      </c>
      <c r="J167" s="225">
        <v>11592.31</v>
      </c>
      <c r="K167" s="225">
        <v>0</v>
      </c>
      <c r="L167" s="333">
        <f>(J167+K167)/I167*100</f>
        <v>192.40380481959306</v>
      </c>
    </row>
    <row r="168" spans="4:12" hidden="1">
      <c r="G168" s="149" t="s">
        <v>56</v>
      </c>
      <c r="H168" s="118" t="s">
        <v>58</v>
      </c>
      <c r="I168" s="217">
        <v>5531</v>
      </c>
      <c r="J168" s="225">
        <v>2374.67</v>
      </c>
      <c r="K168" s="225">
        <v>0</v>
      </c>
      <c r="L168" s="333">
        <f>(J168+K168)/I168*100</f>
        <v>42.933827517627918</v>
      </c>
    </row>
    <row r="169" spans="4:12" hidden="1">
      <c r="G169" s="149" t="s">
        <v>56</v>
      </c>
      <c r="H169" s="118" t="s">
        <v>58</v>
      </c>
      <c r="I169" s="217">
        <v>7647</v>
      </c>
      <c r="J169" s="225">
        <v>6857.1</v>
      </c>
      <c r="K169" s="225">
        <v>0</v>
      </c>
      <c r="L169" s="333">
        <f>(J169+K169)/I169*100</f>
        <v>89.670459003530794</v>
      </c>
    </row>
    <row r="170" spans="4:12" hidden="1">
      <c r="G170" s="149" t="s">
        <v>56</v>
      </c>
      <c r="H170" s="118" t="s">
        <v>58</v>
      </c>
      <c r="I170" s="217">
        <v>0</v>
      </c>
      <c r="J170" s="225">
        <v>3067.71</v>
      </c>
      <c r="K170" s="217">
        <v>0</v>
      </c>
      <c r="L170" s="333"/>
    </row>
    <row r="171" spans="4:12" hidden="1">
      <c r="G171" s="149" t="s">
        <v>56</v>
      </c>
      <c r="H171" s="118" t="s">
        <v>58</v>
      </c>
      <c r="I171" s="217">
        <v>0</v>
      </c>
      <c r="J171" s="225">
        <v>279.64</v>
      </c>
      <c r="K171" s="225">
        <v>0</v>
      </c>
      <c r="L171" s="333"/>
    </row>
    <row r="172" spans="4:12" hidden="1">
      <c r="G172" s="149" t="s">
        <v>56</v>
      </c>
      <c r="H172" s="118" t="s">
        <v>58</v>
      </c>
      <c r="I172" s="217">
        <v>5000</v>
      </c>
      <c r="J172" s="225">
        <v>495.07</v>
      </c>
      <c r="K172" s="225">
        <v>0</v>
      </c>
      <c r="L172" s="333">
        <f>(J172+K172)/I172*100</f>
        <v>9.9014000000000006</v>
      </c>
    </row>
    <row r="173" spans="4:12" hidden="1">
      <c r="G173" s="149" t="s">
        <v>56</v>
      </c>
      <c r="H173" s="118" t="s">
        <v>58</v>
      </c>
      <c r="I173" s="217">
        <v>100</v>
      </c>
      <c r="J173" s="225">
        <v>4368.18</v>
      </c>
      <c r="K173" s="225">
        <v>0</v>
      </c>
      <c r="L173" s="333">
        <f>(J173+K173)/I173*100</f>
        <v>4368.18</v>
      </c>
    </row>
    <row r="174" spans="4:12" hidden="1">
      <c r="G174" s="149" t="s">
        <v>56</v>
      </c>
      <c r="H174" s="118" t="s">
        <v>58</v>
      </c>
      <c r="I174" s="217">
        <v>120</v>
      </c>
      <c r="J174" s="225">
        <v>3867.36</v>
      </c>
      <c r="K174" s="225">
        <v>0</v>
      </c>
      <c r="L174" s="333">
        <f>(J174+K174)/I174*100</f>
        <v>3222.8</v>
      </c>
    </row>
    <row r="175" spans="4:12" hidden="1">
      <c r="G175" s="149" t="s">
        <v>56</v>
      </c>
      <c r="H175" s="118" t="s">
        <v>58</v>
      </c>
      <c r="I175" s="217">
        <v>60</v>
      </c>
      <c r="J175" s="225">
        <v>36</v>
      </c>
      <c r="K175" s="225">
        <v>0</v>
      </c>
      <c r="L175" s="333">
        <f>(J175+K175)/I175*100</f>
        <v>60</v>
      </c>
    </row>
    <row r="176" spans="4:12" hidden="1">
      <c r="G176" s="149" t="s">
        <v>56</v>
      </c>
      <c r="H176" s="118" t="s">
        <v>58</v>
      </c>
      <c r="I176" s="217">
        <v>0</v>
      </c>
      <c r="J176" s="225">
        <v>5847.16</v>
      </c>
      <c r="K176" s="225">
        <v>0</v>
      </c>
      <c r="L176" s="333"/>
    </row>
  </sheetData>
  <sortState ref="G199:L322">
    <sortCondition ref="G198"/>
  </sortState>
  <mergeCells count="3">
    <mergeCell ref="B30:B31"/>
    <mergeCell ref="A43:B43"/>
    <mergeCell ref="A26:B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Zakresy nazwane</vt:lpstr>
      </vt:variant>
      <vt:variant>
        <vt:i4>1</vt:i4>
      </vt:variant>
    </vt:vector>
  </HeadingPairs>
  <TitlesOfParts>
    <vt:vector size="15" baseType="lpstr">
      <vt:lpstr>tab1</vt:lpstr>
      <vt:lpstr>wykres dochodów</vt:lpstr>
      <vt:lpstr>tab2</vt:lpstr>
      <vt:lpstr>tab3</vt:lpstr>
      <vt:lpstr>tab4</vt:lpstr>
      <vt:lpstr>wykres wydatków</vt:lpstr>
      <vt:lpstr>tab5</vt:lpstr>
      <vt:lpstr>tab 6i7</vt:lpstr>
      <vt:lpstr>tab 8i9</vt:lpstr>
      <vt:lpstr>tab10i11</vt:lpstr>
      <vt:lpstr>tab11</vt:lpstr>
      <vt:lpstr>tab12</vt:lpstr>
      <vt:lpstr>tab13</vt:lpstr>
      <vt:lpstr>Arkusz5</vt:lpstr>
      <vt:lpstr>'wykres dochodów'!Obszar_wydruku</vt:lpstr>
    </vt:vector>
  </TitlesOfParts>
  <Company>Powiat Białogard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Starostwo</dc:creator>
  <cp:lastModifiedBy>Starostwo Powiatowe w Białogardzie</cp:lastModifiedBy>
  <cp:lastPrinted>2011-07-29T11:42:37Z</cp:lastPrinted>
  <dcterms:created xsi:type="dcterms:W3CDTF">2003-12-03T07:20:24Z</dcterms:created>
  <dcterms:modified xsi:type="dcterms:W3CDTF">2011-07-29T11:43:33Z</dcterms:modified>
</cp:coreProperties>
</file>